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20175" windowHeight="11760" activeTab="2"/>
  </bookViews>
  <sheets>
    <sheet name="수입" sheetId="1" r:id="rId1"/>
    <sheet name="지출" sheetId="2" r:id="rId2"/>
    <sheet name="임직원보수일람표" sheetId="3" r:id="rId3"/>
    <sheet name="총괄" sheetId="4" r:id="rId4"/>
  </sheets>
  <calcPr calcId="124519"/>
</workbook>
</file>

<file path=xl/calcChain.xml><?xml version="1.0" encoding="utf-8"?>
<calcChain xmlns="http://schemas.openxmlformats.org/spreadsheetml/2006/main">
  <c r="L45" i="4"/>
  <c r="L47"/>
  <c r="J51"/>
  <c r="K54"/>
  <c r="J54"/>
  <c r="L52"/>
  <c r="L54" s="1"/>
  <c r="K51"/>
  <c r="L49"/>
  <c r="L43"/>
  <c r="L41"/>
  <c r="E41"/>
  <c r="D41"/>
  <c r="K40"/>
  <c r="J40"/>
  <c r="F39"/>
  <c r="L38"/>
  <c r="F37"/>
  <c r="L36"/>
  <c r="F35"/>
  <c r="L34"/>
  <c r="K33"/>
  <c r="J33"/>
  <c r="F33"/>
  <c r="E32"/>
  <c r="D32"/>
  <c r="L31"/>
  <c r="F30"/>
  <c r="L29"/>
  <c r="F28"/>
  <c r="L27"/>
  <c r="E27"/>
  <c r="D27"/>
  <c r="L25"/>
  <c r="F25"/>
  <c r="F27" s="1"/>
  <c r="E24"/>
  <c r="D24"/>
  <c r="L23"/>
  <c r="F22"/>
  <c r="F24" s="1"/>
  <c r="L21"/>
  <c r="E21"/>
  <c r="D21"/>
  <c r="L19"/>
  <c r="F19"/>
  <c r="L17"/>
  <c r="F17"/>
  <c r="E16"/>
  <c r="D16"/>
  <c r="L15"/>
  <c r="L13"/>
  <c r="F12"/>
  <c r="F16" s="1"/>
  <c r="L11"/>
  <c r="E11"/>
  <c r="D11"/>
  <c r="L9"/>
  <c r="F9"/>
  <c r="L7"/>
  <c r="F7"/>
  <c r="F4" i="3"/>
  <c r="F5"/>
  <c r="F6"/>
  <c r="F3"/>
  <c r="E3"/>
  <c r="E6"/>
  <c r="E5"/>
  <c r="E4"/>
  <c r="F98" i="2"/>
  <c r="O17"/>
  <c r="O18" s="1"/>
  <c r="E16" s="1"/>
  <c r="F16" s="1"/>
  <c r="D6"/>
  <c r="E98"/>
  <c r="O100"/>
  <c r="O99"/>
  <c r="O81"/>
  <c r="O79"/>
  <c r="O77"/>
  <c r="O75"/>
  <c r="O48"/>
  <c r="O35"/>
  <c r="O14"/>
  <c r="O12"/>
  <c r="O8"/>
  <c r="O10"/>
  <c r="D6" i="1"/>
  <c r="S41"/>
  <c r="S37"/>
  <c r="S20"/>
  <c r="S19"/>
  <c r="S17"/>
  <c r="S13"/>
  <c r="S10"/>
  <c r="S8"/>
  <c r="D42"/>
  <c r="F21" i="4" l="1"/>
  <c r="F32"/>
  <c r="F41"/>
  <c r="L40"/>
  <c r="L51"/>
  <c r="K6"/>
  <c r="L33"/>
  <c r="J6"/>
  <c r="D6"/>
  <c r="F11"/>
  <c r="E6"/>
  <c r="F7" i="3"/>
  <c r="F9" s="1"/>
  <c r="O15" i="2"/>
  <c r="S11" i="1"/>
  <c r="E7" s="1"/>
  <c r="F7" s="1"/>
  <c r="F6" i="4" l="1"/>
  <c r="L6"/>
  <c r="F13" i="3"/>
  <c r="E7"/>
  <c r="E9" s="1"/>
  <c r="J6"/>
  <c r="G6"/>
  <c r="K6"/>
  <c r="I6"/>
  <c r="H6"/>
  <c r="I5"/>
  <c r="H5"/>
  <c r="J5"/>
  <c r="G5"/>
  <c r="K5"/>
  <c r="I4"/>
  <c r="H4"/>
  <c r="J4"/>
  <c r="G4"/>
  <c r="K4"/>
  <c r="I3"/>
  <c r="H3"/>
  <c r="J3"/>
  <c r="K3"/>
  <c r="G3"/>
  <c r="G7" s="1"/>
  <c r="G9" s="1"/>
  <c r="I7" l="1"/>
  <c r="I9" s="1"/>
  <c r="G17" s="1"/>
  <c r="E13"/>
  <c r="H7"/>
  <c r="H9" s="1"/>
  <c r="J7"/>
  <c r="J9" s="1"/>
  <c r="K7"/>
  <c r="K9" s="1"/>
  <c r="G13"/>
  <c r="J13"/>
  <c r="O38" i="2"/>
  <c r="O41"/>
  <c r="E31"/>
  <c r="F31" s="1"/>
  <c r="O33"/>
  <c r="I13" i="3" l="1"/>
  <c r="K13"/>
  <c r="H13"/>
  <c r="E118" i="2"/>
  <c r="F118" s="1"/>
  <c r="O119"/>
  <c r="O122" s="1"/>
  <c r="O115"/>
  <c r="O116" s="1"/>
  <c r="O112"/>
  <c r="O109"/>
  <c r="O110" s="1"/>
  <c r="E108" s="1"/>
  <c r="F108" s="1"/>
  <c r="O106"/>
  <c r="O104"/>
  <c r="O102"/>
  <c r="O95"/>
  <c r="O96" s="1"/>
  <c r="E94" s="1"/>
  <c r="F94" s="1"/>
  <c r="O92"/>
  <c r="O93" s="1"/>
  <c r="E91" s="1"/>
  <c r="F91" s="1"/>
  <c r="O89"/>
  <c r="O90" s="1"/>
  <c r="E88" s="1"/>
  <c r="F88" s="1"/>
  <c r="O85"/>
  <c r="O83"/>
  <c r="O72"/>
  <c r="O70"/>
  <c r="O68"/>
  <c r="O65"/>
  <c r="O63"/>
  <c r="O61"/>
  <c r="O59"/>
  <c r="O57"/>
  <c r="O55"/>
  <c r="O53"/>
  <c r="O50"/>
  <c r="O46"/>
  <c r="O44"/>
  <c r="E114" l="1"/>
  <c r="F114" s="1"/>
  <c r="O107"/>
  <c r="E101" s="1"/>
  <c r="F101" s="1"/>
  <c r="O66"/>
  <c r="E52" s="1"/>
  <c r="F52" s="1"/>
  <c r="O51"/>
  <c r="E43" s="1"/>
  <c r="F43" s="1"/>
  <c r="E7" l="1"/>
  <c r="E123"/>
  <c r="D123"/>
  <c r="F123"/>
  <c r="D117"/>
  <c r="O113"/>
  <c r="E111" s="1"/>
  <c r="F111" s="1"/>
  <c r="E97"/>
  <c r="D97"/>
  <c r="D87"/>
  <c r="O86"/>
  <c r="E74" s="1"/>
  <c r="F74" s="1"/>
  <c r="O73"/>
  <c r="E67" s="1"/>
  <c r="F67" s="1"/>
  <c r="O42"/>
  <c r="E40" s="1"/>
  <c r="F40" s="1"/>
  <c r="O39"/>
  <c r="E37" s="1"/>
  <c r="F37" s="1"/>
  <c r="O36"/>
  <c r="E34" s="1"/>
  <c r="F34" s="1"/>
  <c r="F7" l="1"/>
  <c r="G20"/>
  <c r="G25" s="1"/>
  <c r="O25" s="1"/>
  <c r="E117"/>
  <c r="F117"/>
  <c r="F97"/>
  <c r="S38" i="1"/>
  <c r="E36" s="1"/>
  <c r="F36" s="1"/>
  <c r="S35"/>
  <c r="E33" s="1"/>
  <c r="F33" s="1"/>
  <c r="S32"/>
  <c r="E30" s="1"/>
  <c r="F30" s="1"/>
  <c r="S28"/>
  <c r="E26" s="1"/>
  <c r="F26" s="1"/>
  <c r="S24"/>
  <c r="E22" s="1"/>
  <c r="F22" s="1"/>
  <c r="V40" l="1"/>
  <c r="E39"/>
  <c r="F39" s="1"/>
  <c r="G27" i="2"/>
  <c r="O27" s="1"/>
  <c r="G29"/>
  <c r="O29" s="1"/>
  <c r="O20"/>
  <c r="O21" s="1"/>
  <c r="E19" s="1"/>
  <c r="F19" s="1"/>
  <c r="G23"/>
  <c r="O23" s="1"/>
  <c r="E16" i="1"/>
  <c r="F16" s="1"/>
  <c r="O30" i="2" l="1"/>
  <c r="E22" s="1"/>
  <c r="E42" i="1"/>
  <c r="F42"/>
  <c r="E29"/>
  <c r="F29"/>
  <c r="E25"/>
  <c r="E6" s="1"/>
  <c r="F25"/>
  <c r="F6" s="1"/>
  <c r="E21"/>
  <c r="F21"/>
  <c r="E87" i="2" l="1"/>
  <c r="E6" s="1"/>
  <c r="Q4" s="1"/>
  <c r="F22"/>
  <c r="F87" s="1"/>
  <c r="F6" s="1"/>
  <c r="D29" i="1"/>
  <c r="D21"/>
  <c r="D15"/>
  <c r="D25"/>
  <c r="S14"/>
  <c r="E12" s="1"/>
  <c r="F12" s="1"/>
  <c r="F15" s="1"/>
  <c r="E15" l="1"/>
</calcChain>
</file>

<file path=xl/sharedStrings.xml><?xml version="1.0" encoding="utf-8"?>
<sst xmlns="http://schemas.openxmlformats.org/spreadsheetml/2006/main" count="309" uniqueCount="231">
  <si>
    <t>과목</t>
  </si>
  <si>
    <t>산출내역</t>
  </si>
  <si>
    <t>관</t>
  </si>
  <si>
    <t>항</t>
  </si>
  <si>
    <t>목</t>
  </si>
  <si>
    <t>증가</t>
    <phoneticPr fontId="2" type="noConversion"/>
  </si>
  <si>
    <t>총계</t>
  </si>
  <si>
    <t>365일</t>
  </si>
  <si>
    <t>*식사재료비 수입</t>
  </si>
  <si>
    <t>소계</t>
  </si>
  <si>
    <t>3명</t>
    <phoneticPr fontId="2" type="noConversion"/>
  </si>
  <si>
    <t>12월</t>
  </si>
  <si>
    <t xml:space="preserve">*법인전입금(후원금) </t>
    <phoneticPr fontId="2" type="noConversion"/>
  </si>
  <si>
    <t>예산액</t>
    <phoneticPr fontId="2" type="noConversion"/>
  </si>
  <si>
    <t>2018년 예산</t>
    <phoneticPr fontId="2" type="noConversion"/>
  </si>
  <si>
    <t>2019년 예산</t>
    <phoneticPr fontId="2" type="noConversion"/>
  </si>
  <si>
    <t>113
식재료비
수입</t>
    <phoneticPr fontId="2" type="noConversion"/>
  </si>
  <si>
    <t>06
요양급여
수입</t>
    <phoneticPr fontId="2" type="noConversion"/>
  </si>
  <si>
    <t>61
요양급여
수입</t>
    <phoneticPr fontId="2" type="noConversion"/>
  </si>
  <si>
    <t>611
장기요양
급여수입</t>
    <phoneticPr fontId="2" type="noConversion"/>
  </si>
  <si>
    <t>08
전입금</t>
    <phoneticPr fontId="2" type="noConversion"/>
  </si>
  <si>
    <t>81
전입금</t>
    <phoneticPr fontId="2" type="noConversion"/>
  </si>
  <si>
    <t>812
법인전입금
(후원금)</t>
    <phoneticPr fontId="2" type="noConversion"/>
  </si>
  <si>
    <t xml:space="preserve">*전년도이월금 </t>
    <phoneticPr fontId="2" type="noConversion"/>
  </si>
  <si>
    <t>09
이월금</t>
    <phoneticPr fontId="2" type="noConversion"/>
  </si>
  <si>
    <t>91
이월금</t>
    <phoneticPr fontId="2" type="noConversion"/>
  </si>
  <si>
    <t>911
전년도
이월금</t>
    <phoneticPr fontId="2" type="noConversion"/>
  </si>
  <si>
    <t xml:space="preserve">*불용품매각수입 </t>
    <phoneticPr fontId="2" type="noConversion"/>
  </si>
  <si>
    <t xml:space="preserve">*예금이자수입 </t>
    <phoneticPr fontId="2" type="noConversion"/>
  </si>
  <si>
    <t>*직원식재료비수입</t>
    <phoneticPr fontId="2" type="noConversion"/>
  </si>
  <si>
    <t>1101
불용품
매각대</t>
    <phoneticPr fontId="2" type="noConversion"/>
  </si>
  <si>
    <t>1012
예금이자
이자수입</t>
    <phoneticPr fontId="2" type="noConversion"/>
  </si>
  <si>
    <t>1013
직원
식재료비
수입</t>
    <phoneticPr fontId="2" type="noConversion"/>
  </si>
  <si>
    <t>10
잡수입</t>
    <phoneticPr fontId="2" type="noConversion"/>
  </si>
  <si>
    <t>101
잡수입</t>
    <phoneticPr fontId="2" type="noConversion"/>
  </si>
  <si>
    <t xml:space="preserve">*잡수입                                                                      </t>
    <phoneticPr fontId="2" type="noConversion"/>
  </si>
  <si>
    <t>1014
기타
잡수입</t>
    <phoneticPr fontId="2" type="noConversion"/>
  </si>
  <si>
    <t>2019.01.01.~2019.12.31</t>
    <phoneticPr fontId="2" type="noConversion"/>
  </si>
  <si>
    <t>50,000원</t>
    <phoneticPr fontId="2" type="noConversion"/>
  </si>
  <si>
    <t>12월</t>
    <phoneticPr fontId="2" type="noConversion"/>
  </si>
  <si>
    <t>증감</t>
    <phoneticPr fontId="2" type="noConversion"/>
  </si>
  <si>
    <t>1명</t>
  </si>
  <si>
    <t>*퇴직적립금</t>
  </si>
  <si>
    <t>*국민연금</t>
  </si>
  <si>
    <t>*고용보험</t>
  </si>
  <si>
    <t>*산재보험</t>
  </si>
  <si>
    <t>*회식비</t>
  </si>
  <si>
    <t>*종사자힐링캠프</t>
  </si>
  <si>
    <t>2회</t>
  </si>
  <si>
    <t>*유관기관 업무회의비</t>
  </si>
  <si>
    <t>*시설운영위회, 후원단체봉사 회의비</t>
    <phoneticPr fontId="2" type="noConversion"/>
  </si>
  <si>
    <t>4회</t>
  </si>
  <si>
    <t>*출장여비</t>
  </si>
  <si>
    <t>4회</t>
    <phoneticPr fontId="2" type="noConversion"/>
  </si>
  <si>
    <t>*사무용품비</t>
  </si>
  <si>
    <t>*집기구입비</t>
  </si>
  <si>
    <t>*각종검사수수료</t>
  </si>
  <si>
    <t>*우편료</t>
  </si>
  <si>
    <t>*전기료</t>
  </si>
  <si>
    <t>*자동차세</t>
  </si>
  <si>
    <t>*협회,협의회비</t>
  </si>
  <si>
    <t>*화재,가스보험료</t>
  </si>
  <si>
    <t>1회</t>
  </si>
  <si>
    <t>*자동차보험료</t>
  </si>
  <si>
    <t>*배상책임보험(전문직,시설배상)</t>
  </si>
  <si>
    <t>*차량유류대</t>
  </si>
  <si>
    <t>*차량정비유지비</t>
  </si>
  <si>
    <t>4분기</t>
  </si>
  <si>
    <t>*차량소모품비</t>
  </si>
  <si>
    <t>*종사자 급량비</t>
  </si>
  <si>
    <t>*기타운영비</t>
  </si>
  <si>
    <t>*시설 환경 개선</t>
  </si>
  <si>
    <t>*비품(장비)구입비</t>
  </si>
  <si>
    <t>*건물수선비</t>
  </si>
  <si>
    <t>*주·부식비(일반대상자)</t>
  </si>
  <si>
    <t>*세면용품비(세면도구등)</t>
  </si>
  <si>
    <t>*위생용품비(기저귀등)</t>
  </si>
  <si>
    <t>*기타용품</t>
  </si>
  <si>
    <t>*의료소모품비</t>
  </si>
  <si>
    <t>12월</t>
    <phoneticPr fontId="2" type="noConversion"/>
  </si>
  <si>
    <t>*신체,인지,기능회복 프로그램</t>
  </si>
  <si>
    <t>*기타잡지출</t>
  </si>
  <si>
    <t>2019.01.01.~2019.12.31</t>
    <phoneticPr fontId="2" type="noConversion"/>
  </si>
  <si>
    <t>2019년 예산액</t>
    <phoneticPr fontId="2" type="noConversion"/>
  </si>
  <si>
    <t>01
사무비</t>
    <phoneticPr fontId="2" type="noConversion"/>
  </si>
  <si>
    <t>11
인건비</t>
    <phoneticPr fontId="2" type="noConversion"/>
  </si>
  <si>
    <t>111
급여</t>
    <phoneticPr fontId="2" type="noConversion"/>
  </si>
  <si>
    <t>4명</t>
    <phoneticPr fontId="2" type="noConversion"/>
  </si>
  <si>
    <t>*연장근로수당, 야간근무수당</t>
    <phoneticPr fontId="2" type="noConversion"/>
  </si>
  <si>
    <t>/12</t>
    <phoneticPr fontId="2" type="noConversion"/>
  </si>
  <si>
    <t>*국민건강보험료+장기요양급여</t>
    <phoneticPr fontId="2" type="noConversion"/>
  </si>
  <si>
    <t>115
퇴직금및
퇴직적립금</t>
    <phoneticPr fontId="2" type="noConversion"/>
  </si>
  <si>
    <t>116
사회보험
부담금</t>
    <phoneticPr fontId="2" type="noConversion"/>
  </si>
  <si>
    <t>12
업무
추진비</t>
    <phoneticPr fontId="2" type="noConversion"/>
  </si>
  <si>
    <t>121
기관
운영비</t>
    <phoneticPr fontId="2" type="noConversion"/>
  </si>
  <si>
    <t>123
회의비</t>
    <phoneticPr fontId="2" type="noConversion"/>
  </si>
  <si>
    <t>13
운영비</t>
    <phoneticPr fontId="2" type="noConversion"/>
  </si>
  <si>
    <t>131
여비</t>
    <phoneticPr fontId="2" type="noConversion"/>
  </si>
  <si>
    <t>132
수용비 및 수수료</t>
    <phoneticPr fontId="2" type="noConversion"/>
  </si>
  <si>
    <t>4분기</t>
    <phoneticPr fontId="2" type="noConversion"/>
  </si>
  <si>
    <t>*구인광고료</t>
    <phoneticPr fontId="2" type="noConversion"/>
  </si>
  <si>
    <t>133
공공요금
및
제세공과금</t>
    <phoneticPr fontId="2" type="noConversion"/>
  </si>
  <si>
    <t>1대</t>
    <phoneticPr fontId="2" type="noConversion"/>
  </si>
  <si>
    <t>135
차량비</t>
    <phoneticPr fontId="2" type="noConversion"/>
  </si>
  <si>
    <t>137
기타
운영비</t>
    <phoneticPr fontId="2" type="noConversion"/>
  </si>
  <si>
    <t>*직원건강진단비</t>
    <phoneticPr fontId="2" type="noConversion"/>
  </si>
  <si>
    <t>*직원원복</t>
    <phoneticPr fontId="2" type="noConversion"/>
  </si>
  <si>
    <t>02
재산
조성비</t>
    <phoneticPr fontId="2" type="noConversion"/>
  </si>
  <si>
    <t>21
시설비</t>
    <phoneticPr fontId="2" type="noConversion"/>
  </si>
  <si>
    <t>211
시설비</t>
    <phoneticPr fontId="2" type="noConversion"/>
  </si>
  <si>
    <t>212
자산
취득비</t>
    <phoneticPr fontId="2" type="noConversion"/>
  </si>
  <si>
    <t>213
시설장비
유지비</t>
    <phoneticPr fontId="2" type="noConversion"/>
  </si>
  <si>
    <t>2회</t>
    <phoneticPr fontId="2" type="noConversion"/>
  </si>
  <si>
    <t>312
수용기관
경비</t>
    <phoneticPr fontId="2" type="noConversion"/>
  </si>
  <si>
    <t>12회</t>
    <phoneticPr fontId="2" type="noConversion"/>
  </si>
  <si>
    <t>314
의료비</t>
    <phoneticPr fontId="2" type="noConversion"/>
  </si>
  <si>
    <t>318
특별급식비</t>
    <phoneticPr fontId="2" type="noConversion"/>
  </si>
  <si>
    <t xml:space="preserve">*간식비 </t>
    <phoneticPr fontId="2" type="noConversion"/>
  </si>
  <si>
    <t>33
프로그램
사업비</t>
    <phoneticPr fontId="2" type="noConversion"/>
  </si>
  <si>
    <t>331
프로그램
사업비</t>
    <phoneticPr fontId="2" type="noConversion"/>
  </si>
  <si>
    <t>07
잡지출</t>
    <phoneticPr fontId="2" type="noConversion"/>
  </si>
  <si>
    <t>71
잡지출</t>
    <phoneticPr fontId="2" type="noConversion"/>
  </si>
  <si>
    <t>711
잡지출</t>
    <phoneticPr fontId="2" type="noConversion"/>
  </si>
  <si>
    <t>*소송경비,보상금, 사례금</t>
    <phoneticPr fontId="2" type="noConversion"/>
  </si>
  <si>
    <t>117
기타
후생경비</t>
    <phoneticPr fontId="2" type="noConversion"/>
  </si>
  <si>
    <t>인건비
구분</t>
    <phoneticPr fontId="2" type="noConversion"/>
  </si>
  <si>
    <t>건 강 
장기요양</t>
    <phoneticPr fontId="17" type="noConversion"/>
  </si>
  <si>
    <t>임직원 보수 일람표(인건비명세서)</t>
    <phoneticPr fontId="2" type="noConversion"/>
  </si>
  <si>
    <t>순번</t>
    <phoneticPr fontId="2" type="noConversion"/>
  </si>
  <si>
    <t>직종</t>
    <phoneticPr fontId="2" type="noConversion"/>
  </si>
  <si>
    <t>성명</t>
    <phoneticPr fontId="2" type="noConversion"/>
  </si>
  <si>
    <t>급여</t>
    <phoneticPr fontId="17" type="noConversion"/>
  </si>
  <si>
    <t>소
계</t>
    <phoneticPr fontId="2" type="noConversion"/>
  </si>
  <si>
    <t>직접 인건비 계</t>
    <phoneticPr fontId="2" type="noConversion"/>
  </si>
  <si>
    <t>간접 인건비 계</t>
    <phoneticPr fontId="2" type="noConversion"/>
  </si>
  <si>
    <t>총 인건비 계</t>
    <phoneticPr fontId="2" type="noConversion"/>
  </si>
  <si>
    <t>국 민
연 금</t>
    <phoneticPr fontId="17" type="noConversion"/>
  </si>
  <si>
    <t>고 용
보 험</t>
    <phoneticPr fontId="17" type="noConversion"/>
  </si>
  <si>
    <t>산 재  
보 험</t>
    <phoneticPr fontId="17" type="noConversion"/>
  </si>
  <si>
    <t>퇴  직 
적립금</t>
    <phoneticPr fontId="17" type="noConversion"/>
  </si>
  <si>
    <t>간호조무사</t>
    <phoneticPr fontId="17" type="noConversion"/>
  </si>
  <si>
    <t>요양보호사</t>
    <phoneticPr fontId="17" type="noConversion"/>
  </si>
  <si>
    <t>2019년 울산노인주간보호센터 세입 명세서</t>
    <phoneticPr fontId="2" type="noConversion"/>
  </si>
  <si>
    <t>1. 3등급 본인부담금</t>
    <phoneticPr fontId="2" type="noConversion"/>
  </si>
  <si>
    <t>3명</t>
    <phoneticPr fontId="2" type="noConversion"/>
  </si>
  <si>
    <t>2. 4등급 본인부담금</t>
    <phoneticPr fontId="2" type="noConversion"/>
  </si>
  <si>
    <t>5명</t>
    <phoneticPr fontId="2" type="noConversion"/>
  </si>
  <si>
    <t>8명</t>
    <phoneticPr fontId="2" type="noConversion"/>
  </si>
  <si>
    <t>1. 3등급 (일반)</t>
    <phoneticPr fontId="2" type="noConversion"/>
  </si>
  <si>
    <t>2. 4등급 (일반)</t>
    <phoneticPr fontId="2" type="noConversion"/>
  </si>
  <si>
    <t>5명</t>
    <phoneticPr fontId="2" type="noConversion"/>
  </si>
  <si>
    <t>2019년 울산노인주간보호센터 세출 명세서</t>
    <phoneticPr fontId="2" type="noConversion"/>
  </si>
  <si>
    <t>1.사회복지사</t>
    <phoneticPr fontId="2" type="noConversion"/>
  </si>
  <si>
    <t>2.간호조무사</t>
    <phoneticPr fontId="2" type="noConversion"/>
  </si>
  <si>
    <t>3.조리원</t>
    <phoneticPr fontId="2" type="noConversion"/>
  </si>
  <si>
    <t>4.요양보호사</t>
    <phoneticPr fontId="2" type="noConversion"/>
  </si>
  <si>
    <t>112
각종수당</t>
    <phoneticPr fontId="2" type="noConversion"/>
  </si>
  <si>
    <t>사회복지사</t>
    <phoneticPr fontId="17" type="noConversion"/>
  </si>
  <si>
    <t>조리원</t>
    <phoneticPr fontId="2" type="noConversion"/>
  </si>
  <si>
    <t>4회</t>
    <phoneticPr fontId="2" type="noConversion"/>
  </si>
  <si>
    <t>1대</t>
    <phoneticPr fontId="2" type="noConversion"/>
  </si>
  <si>
    <t>311
생계비</t>
    <phoneticPr fontId="2" type="noConversion"/>
  </si>
  <si>
    <t>*기타후생경비</t>
    <phoneticPr fontId="2" type="noConversion"/>
  </si>
  <si>
    <t>01
입소자
부담금
수입</t>
    <phoneticPr fontId="2" type="noConversion"/>
  </si>
  <si>
    <t>11
입소비용
수입</t>
    <phoneticPr fontId="2" type="noConversion"/>
  </si>
  <si>
    <t>111
입소비용
수입</t>
    <phoneticPr fontId="2" type="noConversion"/>
  </si>
  <si>
    <t>ooo</t>
    <phoneticPr fontId="2" type="noConversion"/>
  </si>
  <si>
    <t>이연주</t>
    <phoneticPr fontId="2" type="noConversion"/>
  </si>
  <si>
    <t>홍정희</t>
    <phoneticPr fontId="2" type="noConversion"/>
  </si>
  <si>
    <t>안수현</t>
    <phoneticPr fontId="2" type="noConversion"/>
  </si>
  <si>
    <t>연장
근로수당</t>
    <phoneticPr fontId="17" type="noConversion"/>
  </si>
  <si>
    <t>세입</t>
  </si>
  <si>
    <t>세출</t>
  </si>
  <si>
    <t>예산액</t>
  </si>
  <si>
    <t>증감</t>
  </si>
  <si>
    <t>항</t>
    <phoneticPr fontId="2" type="noConversion"/>
  </si>
  <si>
    <t>2018예산</t>
    <phoneticPr fontId="2" type="noConversion"/>
  </si>
  <si>
    <t>2019예산</t>
    <phoneticPr fontId="2" type="noConversion"/>
  </si>
  <si>
    <t>금액</t>
  </si>
  <si>
    <t>(A)</t>
  </si>
  <si>
    <t>(B)</t>
  </si>
  <si>
    <t>(B)-(A)</t>
  </si>
  <si>
    <t>111
본인부담금수입</t>
    <phoneticPr fontId="2" type="noConversion"/>
  </si>
  <si>
    <t>01
사무비</t>
    <phoneticPr fontId="2" type="noConversion"/>
  </si>
  <si>
    <t>111
급여</t>
    <phoneticPr fontId="2" type="noConversion"/>
  </si>
  <si>
    <t>111
기본급</t>
    <phoneticPr fontId="2" type="noConversion"/>
  </si>
  <si>
    <t>113
식재료비수입</t>
    <phoneticPr fontId="2" type="noConversion"/>
  </si>
  <si>
    <t>115
퇴직적립금</t>
    <phoneticPr fontId="2" type="noConversion"/>
  </si>
  <si>
    <t>04
보조금
수입</t>
    <phoneticPr fontId="2" type="noConversion"/>
  </si>
  <si>
    <t>41
보조금
수입</t>
    <phoneticPr fontId="2" type="noConversion"/>
  </si>
  <si>
    <t>413
시군구
보조금</t>
    <phoneticPr fontId="2" type="noConversion"/>
  </si>
  <si>
    <t>116
사회보험</t>
    <phoneticPr fontId="2" type="noConversion"/>
  </si>
  <si>
    <t>117
기타후생경비</t>
    <phoneticPr fontId="2" type="noConversion"/>
  </si>
  <si>
    <t>05
후원금
수입</t>
    <phoneticPr fontId="2" type="noConversion"/>
  </si>
  <si>
    <t>51
후원금
수입</t>
    <phoneticPr fontId="2" type="noConversion"/>
  </si>
  <si>
    <t>511
지정후원금</t>
    <phoneticPr fontId="2" type="noConversion"/>
  </si>
  <si>
    <t>12
업무추진비</t>
    <phoneticPr fontId="2" type="noConversion"/>
  </si>
  <si>
    <t>121
기관운영비</t>
    <phoneticPr fontId="2" type="noConversion"/>
  </si>
  <si>
    <t>512
비지정후원금</t>
    <phoneticPr fontId="2" type="noConversion"/>
  </si>
  <si>
    <t>122
직책보조비</t>
    <phoneticPr fontId="2" type="noConversion"/>
  </si>
  <si>
    <t>123
회의비</t>
    <phoneticPr fontId="2" type="noConversion"/>
  </si>
  <si>
    <t>06
요양급여수입</t>
    <phoneticPr fontId="2" type="noConversion"/>
  </si>
  <si>
    <t>61
요양급여수입</t>
    <phoneticPr fontId="2" type="noConversion"/>
  </si>
  <si>
    <t>611
장기요양급여</t>
    <phoneticPr fontId="2" type="noConversion"/>
  </si>
  <si>
    <t>13
운영비</t>
    <phoneticPr fontId="2" type="noConversion"/>
  </si>
  <si>
    <t>131
여비</t>
    <phoneticPr fontId="2" type="noConversion"/>
  </si>
  <si>
    <t>08
전입금</t>
    <phoneticPr fontId="2" type="noConversion"/>
  </si>
  <si>
    <t>81
전입금</t>
    <phoneticPr fontId="2" type="noConversion"/>
  </si>
  <si>
    <t>811
법인전입금</t>
    <phoneticPr fontId="2" type="noConversion"/>
  </si>
  <si>
    <t>132
수용비및
수수료</t>
    <phoneticPr fontId="2" type="noConversion"/>
  </si>
  <si>
    <t>133
공공요금
제세공과금</t>
    <phoneticPr fontId="2" type="noConversion"/>
  </si>
  <si>
    <t>09
이월금</t>
    <phoneticPr fontId="2" type="noConversion"/>
  </si>
  <si>
    <t>91
이월금</t>
    <phoneticPr fontId="2" type="noConversion"/>
  </si>
  <si>
    <t>911
전년도이월금</t>
    <phoneticPr fontId="2" type="noConversion"/>
  </si>
  <si>
    <t>135
차량비</t>
    <phoneticPr fontId="2" type="noConversion"/>
  </si>
  <si>
    <t>912
전년도이월금(후원금)</t>
    <phoneticPr fontId="2" type="noConversion"/>
  </si>
  <si>
    <t>137
기타운영비</t>
    <phoneticPr fontId="2" type="noConversion"/>
  </si>
  <si>
    <t>10
잡수입</t>
    <phoneticPr fontId="2" type="noConversion"/>
  </si>
  <si>
    <t>101
잡수입</t>
    <phoneticPr fontId="2" type="noConversion"/>
  </si>
  <si>
    <t>1101
불용품매각대</t>
    <phoneticPr fontId="2" type="noConversion"/>
  </si>
  <si>
    <t>1012
예금이자수입</t>
    <phoneticPr fontId="2" type="noConversion"/>
  </si>
  <si>
    <t>212
자산취득비</t>
    <phoneticPr fontId="2" type="noConversion"/>
  </si>
  <si>
    <t>1013
직원식재료수입</t>
    <phoneticPr fontId="2" type="noConversion"/>
  </si>
  <si>
    <t>1014
기타잡수입</t>
    <phoneticPr fontId="2" type="noConversion"/>
  </si>
  <si>
    <t>03
사업비</t>
    <phoneticPr fontId="2" type="noConversion"/>
  </si>
  <si>
    <t>31
운영비</t>
    <phoneticPr fontId="2" type="noConversion"/>
  </si>
  <si>
    <t>312
수용기관경비</t>
    <phoneticPr fontId="2" type="noConversion"/>
  </si>
  <si>
    <t>07
잡지출</t>
    <phoneticPr fontId="2" type="noConversion"/>
  </si>
  <si>
    <t>71
잡지출</t>
    <phoneticPr fontId="2" type="noConversion"/>
  </si>
  <si>
    <t>711
잡지출</t>
    <phoneticPr fontId="2" type="noConversion"/>
  </si>
  <si>
    <t>2019년 울산노인주간보호센터 예산 총괄표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</si>
</sst>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8">
    <font>
      <sz val="11"/>
      <color theme="1"/>
      <name val="맑은 고딕"/>
      <family val="2"/>
      <charset val="129"/>
      <scheme val="minor"/>
    </font>
    <font>
      <b/>
      <sz val="20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20"/>
      <color theme="1"/>
      <name val="굴림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9"/>
      <name val="굴림"/>
      <family val="3"/>
      <charset val="129"/>
    </font>
    <font>
      <b/>
      <sz val="9"/>
      <color theme="2" tint="-0.89999084444715716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6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6D6D6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4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3" fontId="6" fillId="4" borderId="24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6" fillId="5" borderId="10" xfId="0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3" fontId="6" fillId="4" borderId="20" xfId="0" applyNumberFormat="1" applyFont="1" applyFill="1" applyBorder="1" applyAlignment="1">
      <alignment horizontal="right" vertical="center" wrapText="1"/>
    </xf>
    <xf numFmtId="0" fontId="6" fillId="5" borderId="37" xfId="0" applyFont="1" applyFill="1" applyBorder="1" applyAlignment="1">
      <alignment horizontal="center" vertical="center" wrapText="1"/>
    </xf>
    <xf numFmtId="3" fontId="6" fillId="5" borderId="3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3" fontId="6" fillId="6" borderId="20" xfId="0" applyNumberFormat="1" applyFont="1" applyFill="1" applyBorder="1" applyAlignment="1">
      <alignment horizontal="right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" fontId="6" fillId="3" borderId="5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6" fillId="7" borderId="20" xfId="0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3" fontId="6" fillId="4" borderId="24" xfId="0" applyNumberFormat="1" applyFont="1" applyFill="1" applyBorder="1" applyAlignment="1">
      <alignment vertical="center" wrapText="1"/>
    </xf>
    <xf numFmtId="3" fontId="6" fillId="6" borderId="23" xfId="0" applyNumberFormat="1" applyFont="1" applyFill="1" applyBorder="1" applyAlignment="1">
      <alignment vertical="center" wrapText="1"/>
    </xf>
    <xf numFmtId="3" fontId="6" fillId="7" borderId="24" xfId="0" applyNumberFormat="1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3" fontId="6" fillId="6" borderId="0" xfId="0" applyNumberFormat="1" applyFont="1" applyFill="1" applyBorder="1" applyAlignment="1">
      <alignment horizontal="right" vertical="center" wrapText="1"/>
    </xf>
    <xf numFmtId="41" fontId="4" fillId="0" borderId="20" xfId="1" applyFont="1" applyBorder="1" applyAlignment="1">
      <alignment horizontal="right" vertical="center" wrapText="1"/>
    </xf>
    <xf numFmtId="41" fontId="4" fillId="0" borderId="20" xfId="1" applyFont="1" applyBorder="1" applyAlignment="1">
      <alignment vertical="center" wrapText="1"/>
    </xf>
    <xf numFmtId="3" fontId="4" fillId="6" borderId="2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8" xfId="0" applyFont="1" applyBorder="1" applyAlignment="1">
      <alignment vertical="center" wrapText="1"/>
    </xf>
    <xf numFmtId="41" fontId="6" fillId="7" borderId="59" xfId="0" applyNumberFormat="1" applyFont="1" applyFill="1" applyBorder="1" applyAlignment="1">
      <alignment vertical="center" wrapText="1"/>
    </xf>
    <xf numFmtId="41" fontId="7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5" fillId="8" borderId="63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0" fontId="15" fillId="8" borderId="64" xfId="0" applyFont="1" applyFill="1" applyBorder="1" applyAlignment="1">
      <alignment horizontal="center" vertical="center" wrapText="1"/>
    </xf>
    <xf numFmtId="3" fontId="15" fillId="3" borderId="68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vertical="center" wrapText="1"/>
    </xf>
    <xf numFmtId="3" fontId="15" fillId="8" borderId="24" xfId="0" applyNumberFormat="1" applyFont="1" applyFill="1" applyBorder="1" applyAlignment="1">
      <alignment horizontal="right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0" fontId="13" fillId="0" borderId="28" xfId="0" applyFont="1" applyBorder="1" applyAlignment="1">
      <alignment horizontal="right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15" fillId="8" borderId="2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10" xfId="0" applyNumberFormat="1" applyFont="1" applyFill="1" applyBorder="1" applyAlignment="1">
      <alignment horizontal="right" vertical="center" wrapText="1"/>
    </xf>
    <xf numFmtId="0" fontId="16" fillId="0" borderId="0" xfId="0" applyFont="1">
      <alignment vertical="center"/>
    </xf>
    <xf numFmtId="0" fontId="13" fillId="0" borderId="23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right" vertical="center" wrapText="1"/>
    </xf>
    <xf numFmtId="41" fontId="13" fillId="0" borderId="0" xfId="1" applyFont="1" applyBorder="1" applyAlignment="1">
      <alignment horizontal="center" vertical="center" wrapText="1"/>
    </xf>
    <xf numFmtId="41" fontId="13" fillId="0" borderId="20" xfId="1" applyFont="1" applyBorder="1" applyAlignment="1">
      <alignment horizontal="center" vertical="center" wrapText="1"/>
    </xf>
    <xf numFmtId="41" fontId="15" fillId="4" borderId="24" xfId="1" applyFont="1" applyFill="1" applyBorder="1" applyAlignment="1">
      <alignment horizontal="right" vertical="center" wrapText="1"/>
    </xf>
    <xf numFmtId="0" fontId="13" fillId="0" borderId="28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41" fontId="13" fillId="0" borderId="20" xfId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1" fontId="13" fillId="0" borderId="0" xfId="0" applyNumberFormat="1" applyFont="1" applyBorder="1" applyAlignment="1">
      <alignment horizontal="center" vertical="center" wrapText="1"/>
    </xf>
    <xf numFmtId="3" fontId="15" fillId="6" borderId="20" xfId="0" applyNumberFormat="1" applyFont="1" applyFill="1" applyBorder="1" applyAlignment="1">
      <alignment horizontal="right" vertical="center" wrapText="1"/>
    </xf>
    <xf numFmtId="3" fontId="15" fillId="7" borderId="20" xfId="0" applyNumberFormat="1" applyFont="1" applyFill="1" applyBorder="1" applyAlignment="1">
      <alignment horizontal="right" vertical="center" wrapText="1"/>
    </xf>
    <xf numFmtId="3" fontId="12" fillId="0" borderId="0" xfId="0" applyNumberFormat="1" applyFont="1">
      <alignment vertical="center"/>
    </xf>
    <xf numFmtId="0" fontId="12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176" fontId="19" fillId="0" borderId="44" xfId="0" applyNumberFormat="1" applyFont="1" applyBorder="1" applyAlignment="1">
      <alignment horizontal="right" vertical="center"/>
    </xf>
    <xf numFmtId="3" fontId="19" fillId="6" borderId="44" xfId="1" applyNumberFormat="1" applyFont="1" applyFill="1" applyBorder="1" applyAlignment="1">
      <alignment horizontal="right" vertical="center"/>
    </xf>
    <xf numFmtId="176" fontId="19" fillId="6" borderId="44" xfId="0" applyNumberFormat="1" applyFont="1" applyFill="1" applyBorder="1" applyAlignment="1">
      <alignment horizontal="right" vertical="center"/>
    </xf>
    <xf numFmtId="0" fontId="22" fillId="0" borderId="44" xfId="0" applyFont="1" applyBorder="1" applyAlignment="1">
      <alignment vertical="center"/>
    </xf>
    <xf numFmtId="3" fontId="21" fillId="6" borderId="44" xfId="1" applyNumberFormat="1" applyFont="1" applyFill="1" applyBorder="1" applyAlignment="1">
      <alignment horizontal="right" vertical="center"/>
    </xf>
    <xf numFmtId="3" fontId="21" fillId="6" borderId="44" xfId="1" applyNumberFormat="1" applyFont="1" applyFill="1" applyBorder="1" applyAlignment="1">
      <alignment horizontal="right" vertical="center" wrapText="1"/>
    </xf>
    <xf numFmtId="176" fontId="21" fillId="6" borderId="44" xfId="0" applyNumberFormat="1" applyFont="1" applyFill="1" applyBorder="1" applyAlignment="1">
      <alignment horizontal="right" vertical="center"/>
    </xf>
    <xf numFmtId="3" fontId="19" fillId="0" borderId="0" xfId="1" applyNumberFormat="1" applyFont="1" applyAlignment="1">
      <alignment vertical="center"/>
    </xf>
    <xf numFmtId="3" fontId="19" fillId="0" borderId="0" xfId="1" applyNumberFormat="1" applyFont="1" applyFill="1" applyAlignment="1">
      <alignment vertical="center"/>
    </xf>
    <xf numFmtId="3" fontId="22" fillId="0" borderId="0" xfId="1" applyNumberFormat="1" applyFont="1" applyBorder="1" applyAlignment="1">
      <alignment vertical="center"/>
    </xf>
    <xf numFmtId="3" fontId="22" fillId="0" borderId="0" xfId="1" applyNumberFormat="1" applyFont="1" applyFill="1" applyBorder="1" applyAlignment="1">
      <alignment vertical="center"/>
    </xf>
    <xf numFmtId="0" fontId="23" fillId="0" borderId="0" xfId="0" applyFont="1">
      <alignment vertical="center"/>
    </xf>
    <xf numFmtId="3" fontId="19" fillId="0" borderId="61" xfId="1" applyNumberFormat="1" applyFont="1" applyBorder="1" applyAlignment="1">
      <alignment horizontal="center" vertical="center" wrapText="1"/>
    </xf>
    <xf numFmtId="3" fontId="19" fillId="6" borderId="78" xfId="1" applyNumberFormat="1" applyFont="1" applyFill="1" applyBorder="1" applyAlignment="1">
      <alignment horizontal="right" vertical="center"/>
    </xf>
    <xf numFmtId="3" fontId="21" fillId="6" borderId="78" xfId="1" applyNumberFormat="1" applyFont="1" applyFill="1" applyBorder="1" applyAlignment="1">
      <alignment horizontal="right" vertical="center"/>
    </xf>
    <xf numFmtId="176" fontId="23" fillId="0" borderId="80" xfId="0" applyNumberFormat="1" applyFont="1" applyBorder="1" applyAlignment="1">
      <alignment vertical="center"/>
    </xf>
    <xf numFmtId="176" fontId="23" fillId="0" borderId="81" xfId="0" applyNumberFormat="1" applyFont="1" applyBorder="1" applyAlignment="1">
      <alignment vertical="center"/>
    </xf>
    <xf numFmtId="176" fontId="22" fillId="0" borderId="83" xfId="0" applyNumberFormat="1" applyFont="1" applyBorder="1" applyAlignment="1">
      <alignment vertical="center"/>
    </xf>
    <xf numFmtId="176" fontId="22" fillId="0" borderId="84" xfId="0" applyNumberFormat="1" applyFont="1" applyBorder="1" applyAlignment="1">
      <alignment vertical="center"/>
    </xf>
    <xf numFmtId="3" fontId="19" fillId="0" borderId="60" xfId="1" applyNumberFormat="1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176" fontId="19" fillId="0" borderId="48" xfId="0" applyNumberFormat="1" applyFont="1" applyBorder="1" applyAlignment="1">
      <alignment horizontal="right" vertical="center"/>
    </xf>
    <xf numFmtId="3" fontId="19" fillId="6" borderId="48" xfId="1" applyNumberFormat="1" applyFont="1" applyFill="1" applyBorder="1" applyAlignment="1">
      <alignment horizontal="right" vertical="center"/>
    </xf>
    <xf numFmtId="176" fontId="19" fillId="6" borderId="48" xfId="0" applyNumberFormat="1" applyFont="1" applyFill="1" applyBorder="1" applyAlignment="1">
      <alignment horizontal="right" vertical="center"/>
    </xf>
    <xf numFmtId="3" fontId="19" fillId="6" borderId="48" xfId="1" applyNumberFormat="1" applyFont="1" applyFill="1" applyBorder="1" applyAlignment="1">
      <alignment horizontal="right" vertical="center" wrapText="1"/>
    </xf>
    <xf numFmtId="3" fontId="19" fillId="6" borderId="82" xfId="1" applyNumberFormat="1" applyFont="1" applyFill="1" applyBorder="1" applyAlignment="1">
      <alignment horizontal="right" vertical="center"/>
    </xf>
    <xf numFmtId="0" fontId="20" fillId="0" borderId="90" xfId="0" applyFont="1" applyBorder="1">
      <alignment vertical="center"/>
    </xf>
    <xf numFmtId="3" fontId="19" fillId="0" borderId="91" xfId="1" applyNumberFormat="1" applyFont="1" applyBorder="1" applyAlignment="1">
      <alignment horizontal="center" vertical="center" wrapText="1"/>
    </xf>
    <xf numFmtId="3" fontId="19" fillId="0" borderId="91" xfId="1" applyNumberFormat="1" applyFont="1" applyBorder="1" applyAlignment="1">
      <alignment horizontal="center" vertical="center"/>
    </xf>
    <xf numFmtId="3" fontId="19" fillId="0" borderId="92" xfId="1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5" fillId="8" borderId="85" xfId="0" applyFont="1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44" xfId="0" applyFont="1" applyFill="1" applyBorder="1" applyAlignment="1">
      <alignment horizontal="center" vertical="center" wrapText="1"/>
    </xf>
    <xf numFmtId="3" fontId="25" fillId="3" borderId="44" xfId="0" applyNumberFormat="1" applyFont="1" applyFill="1" applyBorder="1" applyAlignment="1">
      <alignment horizontal="right" vertical="center" wrapText="1"/>
    </xf>
    <xf numFmtId="0" fontId="26" fillId="5" borderId="69" xfId="0" applyFont="1" applyFill="1" applyBorder="1" applyAlignment="1">
      <alignment horizontal="center" vertical="center" wrapText="1"/>
    </xf>
    <xf numFmtId="3" fontId="25" fillId="5" borderId="25" xfId="0" applyNumberFormat="1" applyFont="1" applyFill="1" applyBorder="1" applyAlignment="1">
      <alignment horizontal="right" vertical="center" wrapText="1"/>
    </xf>
    <xf numFmtId="3" fontId="25" fillId="5" borderId="26" xfId="0" applyNumberFormat="1" applyFont="1" applyFill="1" applyBorder="1" applyAlignment="1">
      <alignment horizontal="right" vertical="center" wrapText="1"/>
    </xf>
    <xf numFmtId="0" fontId="23" fillId="5" borderId="61" xfId="0" applyFont="1" applyFill="1" applyBorder="1" applyAlignment="1">
      <alignment vertical="center" wrapText="1"/>
    </xf>
    <xf numFmtId="0" fontId="25" fillId="5" borderId="44" xfId="0" applyFont="1" applyFill="1" applyBorder="1" applyAlignment="1">
      <alignment vertical="center" wrapText="1"/>
    </xf>
    <xf numFmtId="3" fontId="25" fillId="5" borderId="44" xfId="0" applyNumberFormat="1" applyFont="1" applyFill="1" applyBorder="1" applyAlignment="1">
      <alignment vertical="center" wrapText="1"/>
    </xf>
    <xf numFmtId="3" fontId="25" fillId="5" borderId="78" xfId="0" applyNumberFormat="1" applyFont="1" applyFill="1" applyBorder="1" applyAlignment="1">
      <alignment vertical="center" wrapText="1"/>
    </xf>
    <xf numFmtId="0" fontId="25" fillId="5" borderId="44" xfId="0" applyFont="1" applyFill="1" applyBorder="1" applyAlignment="1">
      <alignment horizontal="center" vertical="center" wrapText="1"/>
    </xf>
    <xf numFmtId="41" fontId="25" fillId="5" borderId="42" xfId="0" applyNumberFormat="1" applyFont="1" applyFill="1" applyBorder="1" applyAlignment="1">
      <alignment vertical="center" wrapText="1"/>
    </xf>
    <xf numFmtId="41" fontId="25" fillId="5" borderId="18" xfId="0" applyNumberFormat="1" applyFont="1" applyFill="1" applyBorder="1" applyAlignment="1">
      <alignment vertical="center" wrapText="1"/>
    </xf>
    <xf numFmtId="41" fontId="25" fillId="5" borderId="100" xfId="0" applyNumberFormat="1" applyFont="1" applyFill="1" applyBorder="1" applyAlignment="1">
      <alignment vertical="center" wrapText="1"/>
    </xf>
    <xf numFmtId="0" fontId="26" fillId="5" borderId="109" xfId="0" applyFont="1" applyFill="1" applyBorder="1" applyAlignment="1">
      <alignment horizontal="center" vertical="center" wrapText="1"/>
    </xf>
    <xf numFmtId="3" fontId="25" fillId="5" borderId="110" xfId="0" applyNumberFormat="1" applyFont="1" applyFill="1" applyBorder="1" applyAlignment="1">
      <alignment horizontal="right" vertical="center" wrapText="1"/>
    </xf>
    <xf numFmtId="3" fontId="25" fillId="5" borderId="65" xfId="0" applyNumberFormat="1" applyFont="1" applyFill="1" applyBorder="1" applyAlignment="1">
      <alignment horizontal="right" vertical="center" wrapText="1"/>
    </xf>
    <xf numFmtId="0" fontId="25" fillId="5" borderId="113" xfId="0" applyFont="1" applyFill="1" applyBorder="1" applyAlignment="1">
      <alignment vertical="center" wrapText="1"/>
    </xf>
    <xf numFmtId="0" fontId="25" fillId="5" borderId="107" xfId="0" applyFont="1" applyFill="1" applyBorder="1" applyAlignment="1">
      <alignment vertical="center" wrapText="1"/>
    </xf>
    <xf numFmtId="0" fontId="25" fillId="5" borderId="114" xfId="0" applyFont="1" applyFill="1" applyBorder="1" applyAlignment="1">
      <alignment vertical="center" wrapText="1"/>
    </xf>
    <xf numFmtId="41" fontId="25" fillId="5" borderId="105" xfId="0" applyNumberFormat="1" applyFont="1" applyFill="1" applyBorder="1" applyAlignment="1">
      <alignment vertical="center" wrapText="1"/>
    </xf>
    <xf numFmtId="41" fontId="25" fillId="5" borderId="115" xfId="0" applyNumberFormat="1" applyFont="1" applyFill="1" applyBorder="1" applyAlignment="1">
      <alignment vertical="center" wrapText="1"/>
    </xf>
    <xf numFmtId="0" fontId="25" fillId="5" borderId="118" xfId="0" applyFont="1" applyFill="1" applyBorder="1" applyAlignment="1">
      <alignment horizontal="center" vertical="center" wrapText="1"/>
    </xf>
    <xf numFmtId="0" fontId="25" fillId="5" borderId="65" xfId="0" applyFont="1" applyFill="1" applyBorder="1" applyAlignment="1">
      <alignment vertical="center" wrapText="1"/>
    </xf>
    <xf numFmtId="0" fontId="25" fillId="5" borderId="109" xfId="0" applyFont="1" applyFill="1" applyBorder="1" applyAlignment="1">
      <alignment vertical="center" wrapText="1"/>
    </xf>
    <xf numFmtId="41" fontId="25" fillId="5" borderId="110" xfId="1" applyFont="1" applyFill="1" applyBorder="1" applyAlignment="1">
      <alignment vertical="center" wrapText="1"/>
    </xf>
    <xf numFmtId="41" fontId="25" fillId="5" borderId="119" xfId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justify" vertical="center" wrapText="1"/>
    </xf>
    <xf numFmtId="0" fontId="4" fillId="3" borderId="51" xfId="0" applyFont="1" applyFill="1" applyBorder="1" applyAlignment="1">
      <alignment horizontal="justify" vertical="center" wrapText="1"/>
    </xf>
    <xf numFmtId="0" fontId="4" fillId="3" borderId="52" xfId="0" applyFont="1" applyFill="1" applyBorder="1" applyAlignment="1">
      <alignment horizontal="justify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justify" vertical="center" wrapText="1"/>
    </xf>
    <xf numFmtId="0" fontId="6" fillId="5" borderId="32" xfId="0" applyFont="1" applyFill="1" applyBorder="1" applyAlignment="1">
      <alignment horizontal="justify" vertical="center" wrapText="1"/>
    </xf>
    <xf numFmtId="0" fontId="6" fillId="5" borderId="33" xfId="0" applyFont="1" applyFill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justify" vertical="center" wrapText="1"/>
    </xf>
    <xf numFmtId="0" fontId="4" fillId="5" borderId="32" xfId="0" applyFont="1" applyFill="1" applyBorder="1" applyAlignment="1">
      <alignment horizontal="justify" vertical="center" wrapText="1"/>
    </xf>
    <xf numFmtId="0" fontId="4" fillId="5" borderId="33" xfId="0" applyFont="1" applyFill="1" applyBorder="1" applyAlignment="1">
      <alignment horizontal="justify"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justify" vertical="center" wrapText="1"/>
    </xf>
    <xf numFmtId="0" fontId="4" fillId="5" borderId="39" xfId="0" applyFont="1" applyFill="1" applyBorder="1" applyAlignment="1">
      <alignment horizontal="justify" vertical="center" wrapText="1"/>
    </xf>
    <xf numFmtId="0" fontId="4" fillId="5" borderId="40" xfId="0" applyFont="1" applyFill="1" applyBorder="1" applyAlignment="1">
      <alignment horizontal="justify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justify" vertical="center" wrapText="1"/>
    </xf>
    <xf numFmtId="0" fontId="15" fillId="5" borderId="32" xfId="0" applyFont="1" applyFill="1" applyBorder="1" applyAlignment="1">
      <alignment horizontal="justify" vertical="center" wrapText="1"/>
    </xf>
    <xf numFmtId="0" fontId="15" fillId="5" borderId="33" xfId="0" applyFont="1" applyFill="1" applyBorder="1" applyAlignment="1">
      <alignment horizontal="justify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3" fontId="13" fillId="0" borderId="71" xfId="0" applyNumberFormat="1" applyFont="1" applyBorder="1" applyAlignment="1">
      <alignment horizontal="right" vertical="center" wrapText="1"/>
    </xf>
    <xf numFmtId="3" fontId="13" fillId="0" borderId="42" xfId="0" applyNumberFormat="1" applyFont="1" applyBorder="1" applyAlignment="1">
      <alignment horizontal="right" vertical="center" wrapText="1"/>
    </xf>
    <xf numFmtId="3" fontId="13" fillId="0" borderId="7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1" fontId="13" fillId="0" borderId="69" xfId="1" applyFont="1" applyBorder="1" applyAlignment="1">
      <alignment horizontal="right" vertical="center" wrapText="1"/>
    </xf>
    <xf numFmtId="41" fontId="13" fillId="0" borderId="42" xfId="1" applyFont="1" applyBorder="1" applyAlignment="1">
      <alignment horizontal="right" vertical="center" wrapText="1"/>
    </xf>
    <xf numFmtId="41" fontId="13" fillId="0" borderId="70" xfId="1" applyFont="1" applyBorder="1" applyAlignment="1">
      <alignment horizontal="right" vertical="center" wrapText="1"/>
    </xf>
    <xf numFmtId="41" fontId="13" fillId="0" borderId="25" xfId="1" applyFont="1" applyBorder="1" applyAlignment="1">
      <alignment horizontal="right" vertical="center" wrapText="1"/>
    </xf>
    <xf numFmtId="41" fontId="13" fillId="0" borderId="18" xfId="1" applyFont="1" applyBorder="1" applyAlignment="1">
      <alignment horizontal="right" vertical="center" wrapText="1"/>
    </xf>
    <xf numFmtId="41" fontId="13" fillId="0" borderId="21" xfId="1" applyFont="1" applyBorder="1" applyAlignment="1">
      <alignment horizontal="right" vertical="center" wrapText="1"/>
    </xf>
    <xf numFmtId="0" fontId="13" fillId="0" borderId="26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3" fontId="13" fillId="0" borderId="69" xfId="0" applyNumberFormat="1" applyFont="1" applyBorder="1" applyAlignment="1">
      <alignment horizontal="right" vertical="center" wrapText="1"/>
    </xf>
    <xf numFmtId="3" fontId="13" fillId="0" borderId="25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41" fontId="13" fillId="0" borderId="25" xfId="0" applyNumberFormat="1" applyFont="1" applyBorder="1" applyAlignment="1">
      <alignment horizontal="right" vertical="center" wrapText="1"/>
    </xf>
    <xf numFmtId="0" fontId="15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62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 wrapText="1"/>
    </xf>
    <xf numFmtId="0" fontId="15" fillId="8" borderId="66" xfId="0" applyFont="1" applyFill="1" applyBorder="1" applyAlignment="1">
      <alignment horizontal="center" vertical="center" wrapText="1"/>
    </xf>
    <xf numFmtId="0" fontId="15" fillId="8" borderId="67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justify" vertical="center" wrapText="1"/>
    </xf>
    <xf numFmtId="0" fontId="13" fillId="3" borderId="51" xfId="0" applyFont="1" applyFill="1" applyBorder="1" applyAlignment="1">
      <alignment horizontal="justify" vertical="center" wrapText="1"/>
    </xf>
    <xf numFmtId="0" fontId="13" fillId="3" borderId="52" xfId="0" applyFont="1" applyFill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3" fillId="0" borderId="19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21" fillId="0" borderId="76" xfId="1" applyNumberFormat="1" applyFont="1" applyBorder="1" applyAlignment="1">
      <alignment horizontal="center" vertical="center" wrapText="1"/>
    </xf>
    <xf numFmtId="3" fontId="21" fillId="0" borderId="86" xfId="1" applyNumberFormat="1" applyFont="1" applyBorder="1" applyAlignment="1">
      <alignment horizontal="center" vertical="center" wrapText="1"/>
    </xf>
    <xf numFmtId="3" fontId="21" fillId="0" borderId="87" xfId="1" applyNumberFormat="1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6" fillId="6" borderId="96" xfId="0" applyFont="1" applyFill="1" applyBorder="1" applyAlignment="1">
      <alignment horizontal="center" vertical="center" wrapText="1"/>
    </xf>
    <xf numFmtId="0" fontId="26" fillId="6" borderId="60" xfId="0" applyFont="1" applyFill="1" applyBorder="1" applyAlignment="1">
      <alignment horizontal="center" vertical="center" wrapText="1"/>
    </xf>
    <xf numFmtId="0" fontId="26" fillId="6" borderId="104" xfId="0" applyFont="1" applyFill="1" applyBorder="1" applyAlignment="1">
      <alignment horizontal="center" vertical="center" wrapText="1"/>
    </xf>
    <xf numFmtId="0" fontId="26" fillId="6" borderId="48" xfId="0" applyFont="1" applyFill="1" applyBorder="1" applyAlignment="1">
      <alignment horizontal="center" vertical="center" wrapText="1"/>
    </xf>
    <xf numFmtId="41" fontId="26" fillId="6" borderId="104" xfId="1" applyFont="1" applyFill="1" applyBorder="1" applyAlignment="1">
      <alignment horizontal="center" vertical="center" wrapText="1"/>
    </xf>
    <xf numFmtId="41" fontId="26" fillId="6" borderId="48" xfId="1" applyFont="1" applyFill="1" applyBorder="1" applyAlignment="1">
      <alignment horizontal="center" vertical="center" wrapText="1"/>
    </xf>
    <xf numFmtId="41" fontId="26" fillId="6" borderId="116" xfId="1" applyFont="1" applyFill="1" applyBorder="1" applyAlignment="1">
      <alignment horizontal="center" vertical="center" wrapText="1"/>
    </xf>
    <xf numFmtId="41" fontId="26" fillId="6" borderId="82" xfId="1" applyFont="1" applyFill="1" applyBorder="1" applyAlignment="1">
      <alignment horizontal="center" vertical="center" wrapText="1"/>
    </xf>
    <xf numFmtId="41" fontId="26" fillId="0" borderId="78" xfId="1" applyFont="1" applyBorder="1" applyAlignment="1">
      <alignment horizontal="center" vertical="center" wrapText="1"/>
    </xf>
    <xf numFmtId="0" fontId="27" fillId="6" borderId="104" xfId="0" applyFont="1" applyFill="1" applyBorder="1" applyAlignment="1">
      <alignment horizontal="center" vertical="center" wrapText="1"/>
    </xf>
    <xf numFmtId="0" fontId="27" fillId="6" borderId="48" xfId="0" applyFont="1" applyFill="1" applyBorder="1" applyAlignment="1">
      <alignment horizontal="center" vertical="center" wrapText="1"/>
    </xf>
    <xf numFmtId="41" fontId="26" fillId="6" borderId="44" xfId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26" fillId="5" borderId="39" xfId="0" applyFont="1" applyFill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41" fontId="26" fillId="0" borderId="44" xfId="1" applyFont="1" applyBorder="1" applyAlignment="1">
      <alignment horizontal="center" vertical="center" wrapText="1"/>
    </xf>
    <xf numFmtId="41" fontId="26" fillId="0" borderId="25" xfId="1" applyFont="1" applyBorder="1" applyAlignment="1">
      <alignment horizontal="right" vertical="center" wrapText="1"/>
    </xf>
    <xf numFmtId="41" fontId="26" fillId="0" borderId="21" xfId="1" applyFont="1" applyBorder="1" applyAlignment="1">
      <alignment horizontal="right" vertical="center" wrapText="1"/>
    </xf>
    <xf numFmtId="41" fontId="26" fillId="0" borderId="106" xfId="1" applyFont="1" applyBorder="1" applyAlignment="1">
      <alignment horizontal="center" vertical="center" wrapText="1"/>
    </xf>
    <xf numFmtId="41" fontId="26" fillId="0" borderId="103" xfId="1" applyFont="1" applyBorder="1" applyAlignment="1">
      <alignment horizontal="center" vertical="center" wrapText="1"/>
    </xf>
    <xf numFmtId="0" fontId="26" fillId="0" borderId="10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41" fontId="26" fillId="0" borderId="104" xfId="1" applyFont="1" applyBorder="1" applyAlignment="1">
      <alignment horizontal="center" vertical="center" wrapText="1"/>
    </xf>
    <xf numFmtId="41" fontId="26" fillId="0" borderId="48" xfId="1" applyFont="1" applyBorder="1" applyAlignment="1">
      <alignment horizontal="center" vertical="center" wrapText="1"/>
    </xf>
    <xf numFmtId="3" fontId="26" fillId="0" borderId="107" xfId="0" applyNumberFormat="1" applyFont="1" applyBorder="1" applyAlignment="1">
      <alignment horizontal="right" vertical="center" wrapText="1"/>
    </xf>
    <xf numFmtId="0" fontId="26" fillId="0" borderId="108" xfId="0" applyFont="1" applyBorder="1" applyAlignment="1">
      <alignment horizontal="right" vertical="center" wrapText="1"/>
    </xf>
    <xf numFmtId="0" fontId="26" fillId="0" borderId="44" xfId="0" applyFont="1" applyBorder="1" applyAlignment="1">
      <alignment horizontal="center" vertical="center" wrapText="1"/>
    </xf>
    <xf numFmtId="3" fontId="26" fillId="0" borderId="44" xfId="0" applyNumberFormat="1" applyFont="1" applyBorder="1" applyAlignment="1">
      <alignment horizontal="right" vertical="center" wrapText="1"/>
    </xf>
    <xf numFmtId="41" fontId="26" fillId="0" borderId="69" xfId="1" applyFont="1" applyBorder="1" applyAlignment="1">
      <alignment horizontal="right" vertical="center" wrapText="1"/>
    </xf>
    <xf numFmtId="41" fontId="26" fillId="0" borderId="70" xfId="1" applyFont="1" applyBorder="1" applyAlignment="1">
      <alignment horizontal="right" vertical="center" wrapText="1"/>
    </xf>
    <xf numFmtId="0" fontId="27" fillId="0" borderId="4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right" vertical="center" wrapText="1"/>
    </xf>
    <xf numFmtId="0" fontId="20" fillId="0" borderId="61" xfId="0" applyFont="1" applyBorder="1" applyAlignment="1">
      <alignment horizontal="center" vertical="center" wrapText="1"/>
    </xf>
    <xf numFmtId="41" fontId="26" fillId="0" borderId="105" xfId="1" applyFont="1" applyBorder="1" applyAlignment="1">
      <alignment horizontal="center" vertical="center" wrapText="1"/>
    </xf>
    <xf numFmtId="41" fontId="26" fillId="0" borderId="70" xfId="1" applyFont="1" applyBorder="1" applyAlignment="1">
      <alignment horizontal="center" vertical="center" wrapText="1"/>
    </xf>
    <xf numFmtId="41" fontId="26" fillId="0" borderId="75" xfId="1" applyFont="1" applyBorder="1" applyAlignment="1">
      <alignment horizontal="center" vertical="center" wrapText="1"/>
    </xf>
    <xf numFmtId="41" fontId="26" fillId="0" borderId="21" xfId="1" applyFont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3" fontId="26" fillId="6" borderId="75" xfId="0" applyNumberFormat="1" applyFont="1" applyFill="1" applyBorder="1" applyAlignment="1">
      <alignment horizontal="right" vertical="center" wrapText="1"/>
    </xf>
    <xf numFmtId="3" fontId="26" fillId="6" borderId="18" xfId="0" applyNumberFormat="1" applyFont="1" applyFill="1" applyBorder="1" applyAlignment="1">
      <alignment horizontal="right" vertical="center" wrapText="1"/>
    </xf>
    <xf numFmtId="3" fontId="26" fillId="6" borderId="106" xfId="0" applyNumberFormat="1" applyFont="1" applyFill="1" applyBorder="1" applyAlignment="1">
      <alignment horizontal="right" vertical="center" wrapText="1"/>
    </xf>
    <xf numFmtId="3" fontId="26" fillId="6" borderId="100" xfId="0" applyNumberFormat="1" applyFont="1" applyFill="1" applyBorder="1" applyAlignment="1">
      <alignment horizontal="right" vertical="center" wrapText="1"/>
    </xf>
    <xf numFmtId="0" fontId="26" fillId="5" borderId="97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3" fontId="26" fillId="0" borderId="104" xfId="0" applyNumberFormat="1" applyFont="1" applyBorder="1" applyAlignment="1">
      <alignment horizontal="right" vertical="center" wrapText="1"/>
    </xf>
    <xf numFmtId="3" fontId="26" fillId="0" borderId="48" xfId="0" applyNumberFormat="1" applyFont="1" applyBorder="1" applyAlignment="1">
      <alignment horizontal="right" vertical="center" wrapText="1"/>
    </xf>
    <xf numFmtId="41" fontId="26" fillId="0" borderId="26" xfId="1" applyFont="1" applyBorder="1" applyAlignment="1">
      <alignment horizontal="right" vertical="center" wrapText="1"/>
    </xf>
    <xf numFmtId="41" fontId="26" fillId="0" borderId="19" xfId="1" applyFont="1" applyBorder="1" applyAlignment="1">
      <alignment horizontal="right" vertical="center" wrapText="1"/>
    </xf>
    <xf numFmtId="0" fontId="26" fillId="6" borderId="105" xfId="0" applyFont="1" applyFill="1" applyBorder="1" applyAlignment="1">
      <alignment horizontal="center" vertical="center" wrapText="1"/>
    </xf>
    <xf numFmtId="0" fontId="26" fillId="6" borderId="70" xfId="0" applyFont="1" applyFill="1" applyBorder="1" applyAlignment="1">
      <alignment horizontal="center" vertical="center" wrapText="1"/>
    </xf>
    <xf numFmtId="3" fontId="26" fillId="6" borderId="21" xfId="0" applyNumberFormat="1" applyFont="1" applyFill="1" applyBorder="1" applyAlignment="1">
      <alignment horizontal="right" vertical="center" wrapText="1"/>
    </xf>
    <xf numFmtId="3" fontId="26" fillId="6" borderId="103" xfId="0" applyNumberFormat="1" applyFont="1" applyFill="1" applyBorder="1" applyAlignment="1">
      <alignment horizontal="right" vertical="center" wrapText="1"/>
    </xf>
    <xf numFmtId="0" fontId="27" fillId="0" borderId="98" xfId="0" applyFont="1" applyBorder="1" applyAlignment="1">
      <alignment horizontal="center" vertical="center" wrapText="1"/>
    </xf>
    <xf numFmtId="0" fontId="27" fillId="0" borderId="10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right" vertical="center" wrapText="1"/>
    </xf>
    <xf numFmtId="0" fontId="26" fillId="0" borderId="21" xfId="0" applyFont="1" applyBorder="1" applyAlignment="1">
      <alignment horizontal="right" vertical="center" wrapText="1"/>
    </xf>
    <xf numFmtId="41" fontId="26" fillId="0" borderId="22" xfId="1" applyFont="1" applyBorder="1" applyAlignment="1">
      <alignment horizontal="right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7" fillId="6" borderId="105" xfId="0" applyFont="1" applyFill="1" applyBorder="1" applyAlignment="1">
      <alignment horizontal="center" vertical="center" wrapText="1"/>
    </xf>
    <xf numFmtId="0" fontId="27" fillId="6" borderId="70" xfId="0" applyFont="1" applyFill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3" fontId="26" fillId="0" borderId="25" xfId="0" applyNumberFormat="1" applyFont="1" applyBorder="1" applyAlignment="1">
      <alignment horizontal="right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3" fontId="26" fillId="0" borderId="26" xfId="0" applyNumberFormat="1" applyFont="1" applyBorder="1" applyAlignment="1">
      <alignment horizontal="right" vertical="center" wrapText="1"/>
    </xf>
    <xf numFmtId="3" fontId="26" fillId="0" borderId="19" xfId="0" applyNumberFormat="1" applyFont="1" applyBorder="1" applyAlignment="1">
      <alignment horizontal="right" vertical="center" wrapText="1"/>
    </xf>
    <xf numFmtId="41" fontId="26" fillId="0" borderId="25" xfId="1" applyFont="1" applyBorder="1" applyAlignment="1">
      <alignment horizontal="center" vertical="center" wrapText="1"/>
    </xf>
    <xf numFmtId="41" fontId="26" fillId="0" borderId="26" xfId="1" applyFont="1" applyBorder="1" applyAlignment="1">
      <alignment horizontal="center" vertical="center" wrapText="1"/>
    </xf>
    <xf numFmtId="41" fontId="26" fillId="0" borderId="22" xfId="1" applyFont="1" applyBorder="1" applyAlignment="1">
      <alignment horizontal="center" vertical="center" wrapText="1"/>
    </xf>
    <xf numFmtId="41" fontId="26" fillId="0" borderId="18" xfId="1" applyFont="1" applyBorder="1" applyAlignment="1">
      <alignment horizontal="right" vertical="center" wrapText="1"/>
    </xf>
    <xf numFmtId="3" fontId="26" fillId="0" borderId="44" xfId="0" applyNumberFormat="1" applyFont="1" applyBorder="1" applyAlignment="1">
      <alignment vertical="center" wrapText="1"/>
    </xf>
    <xf numFmtId="3" fontId="26" fillId="0" borderId="78" xfId="0" applyNumberFormat="1" applyFont="1" applyBorder="1" applyAlignment="1">
      <alignment vertical="center" wrapText="1"/>
    </xf>
    <xf numFmtId="3" fontId="26" fillId="0" borderId="104" xfId="0" applyNumberFormat="1" applyFont="1" applyBorder="1" applyAlignment="1">
      <alignment vertical="center" wrapText="1"/>
    </xf>
    <xf numFmtId="3" fontId="26" fillId="0" borderId="48" xfId="0" applyNumberFormat="1" applyFont="1" applyBorder="1" applyAlignment="1">
      <alignment vertical="center" wrapText="1"/>
    </xf>
    <xf numFmtId="3" fontId="26" fillId="0" borderId="21" xfId="0" applyNumberFormat="1" applyFont="1" applyBorder="1" applyAlignment="1">
      <alignment horizontal="right" vertical="center" wrapText="1"/>
    </xf>
    <xf numFmtId="3" fontId="26" fillId="0" borderId="99" xfId="0" applyNumberFormat="1" applyFont="1" applyBorder="1" applyAlignment="1">
      <alignment horizontal="right" vertical="center" wrapText="1"/>
    </xf>
    <xf numFmtId="3" fontId="26" fillId="0" borderId="100" xfId="0" applyNumberFormat="1" applyFont="1" applyBorder="1" applyAlignment="1">
      <alignment horizontal="right" vertical="center" wrapText="1"/>
    </xf>
    <xf numFmtId="3" fontId="26" fillId="0" borderId="103" xfId="0" applyNumberFormat="1" applyFont="1" applyBorder="1" applyAlignment="1">
      <alignment horizontal="right" vertical="center" wrapText="1"/>
    </xf>
    <xf numFmtId="41" fontId="26" fillId="0" borderId="104" xfId="1" applyFont="1" applyBorder="1" applyAlignment="1">
      <alignment horizontal="right" vertical="center" wrapText="1"/>
    </xf>
    <xf numFmtId="41" fontId="26" fillId="0" borderId="48" xfId="1" applyFont="1" applyBorder="1" applyAlignment="1">
      <alignment horizontal="right" vertical="center" wrapText="1"/>
    </xf>
    <xf numFmtId="0" fontId="27" fillId="0" borderId="47" xfId="0" applyFont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right" vertical="center" wrapText="1"/>
    </xf>
    <xf numFmtId="0" fontId="25" fillId="3" borderId="61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5" fillId="8" borderId="61" xfId="0" applyFont="1" applyFill="1" applyBorder="1" applyAlignment="1">
      <alignment horizontal="center" vertical="center" wrapText="1"/>
    </xf>
    <xf numFmtId="0" fontId="25" fillId="8" borderId="44" xfId="0" applyFont="1" applyFill="1" applyBorder="1" applyAlignment="1">
      <alignment horizontal="center" vertical="center" wrapText="1"/>
    </xf>
    <xf numFmtId="0" fontId="25" fillId="8" borderId="96" xfId="0" applyFont="1" applyFill="1" applyBorder="1" applyAlignment="1">
      <alignment horizontal="center" vertical="center" wrapText="1"/>
    </xf>
    <xf numFmtId="0" fontId="25" fillId="8" borderId="6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8" borderId="93" xfId="0" applyFont="1" applyFill="1" applyBorder="1" applyAlignment="1">
      <alignment horizontal="center" vertical="center" wrapText="1"/>
    </xf>
    <xf numFmtId="0" fontId="25" fillId="8" borderId="77" xfId="0" applyFont="1" applyFill="1" applyBorder="1" applyAlignment="1">
      <alignment horizontal="center" vertical="center" wrapText="1"/>
    </xf>
    <xf numFmtId="0" fontId="25" fillId="8" borderId="94" xfId="0" applyFont="1" applyFill="1" applyBorder="1" applyAlignment="1">
      <alignment horizontal="center" vertical="center" wrapText="1"/>
    </xf>
    <xf numFmtId="0" fontId="25" fillId="8" borderId="95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opLeftCell="A19" workbookViewId="0">
      <selection sqref="A1:S42"/>
    </sheetView>
  </sheetViews>
  <sheetFormatPr defaultRowHeight="16.5"/>
  <cols>
    <col min="1" max="3" width="10.625" customWidth="1"/>
    <col min="4" max="6" width="13.625" customWidth="1"/>
    <col min="7" max="7" width="9.625" customWidth="1"/>
    <col min="8" max="11" width="5.125" customWidth="1"/>
    <col min="12" max="18" width="0.875" customWidth="1"/>
    <col min="19" max="19" width="15.625" customWidth="1"/>
    <col min="22" max="22" width="11.375" bestFit="1" customWidth="1"/>
  </cols>
  <sheetData>
    <row r="1" spans="1:19" s="1" customFormat="1" ht="35.1" customHeight="1">
      <c r="A1" s="153" t="s">
        <v>142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s="1" customFormat="1" ht="15.95" customHeight="1">
      <c r="A2" s="2"/>
    </row>
    <row r="3" spans="1:19" s="1" customFormat="1" ht="35.1" customHeight="1" thickBot="1">
      <c r="A3" s="154" t="s">
        <v>37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s="3" customFormat="1" ht="30" customHeight="1">
      <c r="A4" s="155" t="s">
        <v>0</v>
      </c>
      <c r="B4" s="156"/>
      <c r="C4" s="157"/>
      <c r="D4" s="158" t="s">
        <v>13</v>
      </c>
      <c r="E4" s="159"/>
      <c r="F4" s="160"/>
      <c r="G4" s="161" t="s">
        <v>1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</row>
    <row r="5" spans="1:19" s="3" customFormat="1" ht="30" customHeight="1" thickBot="1">
      <c r="A5" s="21" t="s">
        <v>2</v>
      </c>
      <c r="B5" s="22" t="s">
        <v>3</v>
      </c>
      <c r="C5" s="22" t="s">
        <v>4</v>
      </c>
      <c r="D5" s="23" t="s">
        <v>14</v>
      </c>
      <c r="E5" s="23" t="s">
        <v>15</v>
      </c>
      <c r="F5" s="23" t="s">
        <v>5</v>
      </c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6"/>
    </row>
    <row r="6" spans="1:19" s="3" customFormat="1" ht="30" customHeight="1" thickBot="1">
      <c r="A6" s="167" t="s">
        <v>6</v>
      </c>
      <c r="B6" s="168"/>
      <c r="C6" s="169"/>
      <c r="D6" s="24">
        <f>D15+D21+D25+D29+D42</f>
        <v>67107852</v>
      </c>
      <c r="E6" s="24">
        <f t="shared" ref="E6:F6" si="0">E15+E21+E25+E29+E42</f>
        <v>208126400</v>
      </c>
      <c r="F6" s="24">
        <f t="shared" si="0"/>
        <v>141018548</v>
      </c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</row>
    <row r="7" spans="1:19" s="3" customFormat="1" ht="23.45" customHeight="1">
      <c r="A7" s="173" t="s">
        <v>163</v>
      </c>
      <c r="B7" s="174" t="s">
        <v>164</v>
      </c>
      <c r="C7" s="175" t="s">
        <v>165</v>
      </c>
      <c r="D7" s="149">
        <v>7827262</v>
      </c>
      <c r="E7" s="149">
        <f>S11</f>
        <v>34555280</v>
      </c>
      <c r="F7" s="149">
        <f>E7-D7</f>
        <v>26728018</v>
      </c>
      <c r="G7" s="179" t="s">
        <v>143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5"/>
    </row>
    <row r="8" spans="1:19" s="3" customFormat="1" ht="23.45" customHeight="1">
      <c r="A8" s="173"/>
      <c r="B8" s="174"/>
      <c r="C8" s="175"/>
      <c r="D8" s="149"/>
      <c r="E8" s="149"/>
      <c r="F8" s="149"/>
      <c r="G8" s="118" t="s">
        <v>144</v>
      </c>
      <c r="H8" s="181">
        <v>59170</v>
      </c>
      <c r="I8" s="181"/>
      <c r="J8" s="182" t="s">
        <v>7</v>
      </c>
      <c r="K8" s="182"/>
      <c r="L8" s="183">
        <v>0.2</v>
      </c>
      <c r="M8" s="183"/>
      <c r="N8" s="183"/>
      <c r="O8" s="183"/>
      <c r="P8" s="183"/>
      <c r="Q8" s="183"/>
      <c r="R8" s="183"/>
      <c r="S8" s="4">
        <f>3*59170*365*20%</f>
        <v>12958230</v>
      </c>
    </row>
    <row r="9" spans="1:19" s="3" customFormat="1" ht="23.45" customHeight="1">
      <c r="A9" s="173"/>
      <c r="B9" s="174"/>
      <c r="C9" s="175"/>
      <c r="D9" s="149"/>
      <c r="E9" s="149"/>
      <c r="F9" s="149"/>
      <c r="G9" s="179" t="s">
        <v>145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5"/>
    </row>
    <row r="10" spans="1:19" s="3" customFormat="1" ht="23.45" customHeight="1">
      <c r="A10" s="173"/>
      <c r="B10" s="174"/>
      <c r="C10" s="175"/>
      <c r="D10" s="149"/>
      <c r="E10" s="149"/>
      <c r="F10" s="149"/>
      <c r="G10" s="118" t="s">
        <v>146</v>
      </c>
      <c r="H10" s="181">
        <v>59170</v>
      </c>
      <c r="I10" s="181"/>
      <c r="J10" s="182" t="s">
        <v>7</v>
      </c>
      <c r="K10" s="182"/>
      <c r="L10" s="183">
        <v>0.2</v>
      </c>
      <c r="M10" s="183"/>
      <c r="N10" s="183"/>
      <c r="O10" s="183"/>
      <c r="P10" s="183"/>
      <c r="Q10" s="183"/>
      <c r="R10" s="183"/>
      <c r="S10" s="4">
        <f>5*59170*365*20%</f>
        <v>21597050</v>
      </c>
    </row>
    <row r="11" spans="1:19" s="3" customFormat="1" ht="23.45" customHeight="1">
      <c r="A11" s="173"/>
      <c r="B11" s="174"/>
      <c r="C11" s="175"/>
      <c r="D11" s="150"/>
      <c r="E11" s="150"/>
      <c r="F11" s="150"/>
      <c r="G11" s="18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6">
        <f>S8+S10</f>
        <v>34555280</v>
      </c>
    </row>
    <row r="12" spans="1:19" s="3" customFormat="1" ht="23.45" customHeight="1">
      <c r="A12" s="173"/>
      <c r="B12" s="174"/>
      <c r="C12" s="176" t="s">
        <v>16</v>
      </c>
      <c r="D12" s="151">
        <v>2397000</v>
      </c>
      <c r="E12" s="151">
        <f>S14</f>
        <v>21900000</v>
      </c>
      <c r="F12" s="151">
        <f>E12-D12</f>
        <v>19503000</v>
      </c>
      <c r="G12" s="190" t="s">
        <v>8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7"/>
    </row>
    <row r="13" spans="1:19" s="3" customFormat="1" ht="23.45" customHeight="1">
      <c r="A13" s="173"/>
      <c r="B13" s="174"/>
      <c r="C13" s="177"/>
      <c r="D13" s="149"/>
      <c r="E13" s="149"/>
      <c r="F13" s="149"/>
      <c r="G13" s="118" t="s">
        <v>147</v>
      </c>
      <c r="H13" s="181">
        <v>7500</v>
      </c>
      <c r="I13" s="181"/>
      <c r="J13" s="182" t="s">
        <v>7</v>
      </c>
      <c r="K13" s="182"/>
      <c r="L13" s="182"/>
      <c r="M13" s="182"/>
      <c r="N13" s="182"/>
      <c r="O13" s="182"/>
      <c r="P13" s="182"/>
      <c r="Q13" s="182"/>
      <c r="R13" s="182"/>
      <c r="S13" s="4">
        <f>8*7500*365</f>
        <v>21900000</v>
      </c>
    </row>
    <row r="14" spans="1:19" s="3" customFormat="1" ht="23.45" customHeight="1">
      <c r="A14" s="173"/>
      <c r="B14" s="174"/>
      <c r="C14" s="178"/>
      <c r="D14" s="149"/>
      <c r="E14" s="149"/>
      <c r="F14" s="149"/>
      <c r="G14" s="18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6">
        <f>S13</f>
        <v>21900000</v>
      </c>
    </row>
    <row r="15" spans="1:19" s="10" customFormat="1" ht="23.45" customHeight="1" thickBot="1">
      <c r="A15" s="185"/>
      <c r="B15" s="186"/>
      <c r="C15" s="19" t="s">
        <v>9</v>
      </c>
      <c r="D15" s="9">
        <f>SUM(D7:D14)</f>
        <v>10224262</v>
      </c>
      <c r="E15" s="9">
        <f>SUM(E7:E14)</f>
        <v>56455280</v>
      </c>
      <c r="F15" s="9">
        <f>SUM(F7:F14)</f>
        <v>46231018</v>
      </c>
      <c r="G15" s="187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9"/>
    </row>
    <row r="16" spans="1:19" s="3" customFormat="1" ht="23.45" customHeight="1" thickTop="1">
      <c r="A16" s="205" t="s">
        <v>17</v>
      </c>
      <c r="B16" s="192" t="s">
        <v>18</v>
      </c>
      <c r="C16" s="192" t="s">
        <v>19</v>
      </c>
      <c r="D16" s="184">
        <v>35483590</v>
      </c>
      <c r="E16" s="184">
        <f>S20</f>
        <v>138221120</v>
      </c>
      <c r="F16" s="184">
        <f>E16-D16</f>
        <v>102737530</v>
      </c>
      <c r="G16" s="179" t="s">
        <v>148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5"/>
    </row>
    <row r="17" spans="1:19" s="3" customFormat="1" ht="23.45" customHeight="1">
      <c r="A17" s="206"/>
      <c r="B17" s="193"/>
      <c r="C17" s="193"/>
      <c r="D17" s="149"/>
      <c r="E17" s="149"/>
      <c r="F17" s="149"/>
      <c r="G17" s="118" t="s">
        <v>10</v>
      </c>
      <c r="H17" s="181">
        <v>59170</v>
      </c>
      <c r="I17" s="181"/>
      <c r="J17" s="182" t="s">
        <v>7</v>
      </c>
      <c r="K17" s="182"/>
      <c r="L17" s="183">
        <v>0.8</v>
      </c>
      <c r="M17" s="183"/>
      <c r="N17" s="183"/>
      <c r="O17" s="183"/>
      <c r="P17" s="183"/>
      <c r="Q17" s="183"/>
      <c r="R17" s="183"/>
      <c r="S17" s="4">
        <f>3*59170*365*80%</f>
        <v>51832920</v>
      </c>
    </row>
    <row r="18" spans="1:19" s="3" customFormat="1" ht="23.45" customHeight="1">
      <c r="A18" s="206"/>
      <c r="B18" s="193"/>
      <c r="C18" s="193"/>
      <c r="D18" s="149"/>
      <c r="E18" s="149"/>
      <c r="F18" s="149"/>
      <c r="G18" s="179" t="s">
        <v>149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5"/>
    </row>
    <row r="19" spans="1:19" s="3" customFormat="1" ht="23.45" customHeight="1">
      <c r="A19" s="206"/>
      <c r="B19" s="193"/>
      <c r="C19" s="193"/>
      <c r="D19" s="149"/>
      <c r="E19" s="149"/>
      <c r="F19" s="149"/>
      <c r="G19" s="118" t="s">
        <v>150</v>
      </c>
      <c r="H19" s="181">
        <v>59170</v>
      </c>
      <c r="I19" s="181"/>
      <c r="J19" s="182" t="s">
        <v>7</v>
      </c>
      <c r="K19" s="182"/>
      <c r="L19" s="183">
        <v>0.8</v>
      </c>
      <c r="M19" s="183"/>
      <c r="N19" s="183"/>
      <c r="O19" s="183"/>
      <c r="P19" s="183"/>
      <c r="Q19" s="183"/>
      <c r="R19" s="183"/>
      <c r="S19" s="4">
        <f>5*59170*365*80%</f>
        <v>86388200</v>
      </c>
    </row>
    <row r="20" spans="1:19" s="3" customFormat="1" ht="23.45" customHeight="1">
      <c r="A20" s="207"/>
      <c r="B20" s="194"/>
      <c r="C20" s="194"/>
      <c r="D20" s="150"/>
      <c r="E20" s="150"/>
      <c r="F20" s="150"/>
      <c r="G20" s="18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1">
        <f>S17+S19</f>
        <v>138221120</v>
      </c>
    </row>
    <row r="21" spans="1:19" s="10" customFormat="1" ht="23.45" customHeight="1" thickBot="1">
      <c r="A21" s="197"/>
      <c r="B21" s="198"/>
      <c r="C21" s="8" t="s">
        <v>9</v>
      </c>
      <c r="D21" s="9">
        <f>SUM(D16)</f>
        <v>35483590</v>
      </c>
      <c r="E21" s="9">
        <f t="shared" ref="E21:F21" si="1">SUM(E16)</f>
        <v>138221120</v>
      </c>
      <c r="F21" s="9">
        <f t="shared" si="1"/>
        <v>102737530</v>
      </c>
      <c r="G21" s="199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1"/>
    </row>
    <row r="22" spans="1:19" s="3" customFormat="1" ht="23.45" customHeight="1" thickTop="1">
      <c r="A22" s="205" t="s">
        <v>20</v>
      </c>
      <c r="B22" s="192" t="s">
        <v>21</v>
      </c>
      <c r="C22" s="192" t="s">
        <v>22</v>
      </c>
      <c r="D22" s="184">
        <v>20000000</v>
      </c>
      <c r="E22" s="184">
        <f>S24</f>
        <v>5000000</v>
      </c>
      <c r="F22" s="184">
        <f>E22-D22</f>
        <v>-15000000</v>
      </c>
      <c r="G22" s="195" t="s">
        <v>12</v>
      </c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34"/>
    </row>
    <row r="23" spans="1:19" s="3" customFormat="1" ht="23.45" customHeight="1">
      <c r="A23" s="206"/>
      <c r="B23" s="193"/>
      <c r="C23" s="193"/>
      <c r="D23" s="149"/>
      <c r="E23" s="149"/>
      <c r="F23" s="149"/>
      <c r="G23" s="33"/>
      <c r="H23" s="25"/>
      <c r="I23" s="25"/>
      <c r="J23" s="25"/>
      <c r="K23" s="25"/>
      <c r="L23" s="182"/>
      <c r="M23" s="182"/>
      <c r="N23" s="182"/>
      <c r="O23" s="182"/>
      <c r="P23" s="182"/>
      <c r="Q23" s="182"/>
      <c r="R23" s="182"/>
      <c r="S23" s="37">
        <v>5000000</v>
      </c>
    </row>
    <row r="24" spans="1:19" s="3" customFormat="1" ht="23.45" customHeight="1">
      <c r="A24" s="207"/>
      <c r="B24" s="194"/>
      <c r="C24" s="194"/>
      <c r="D24" s="150"/>
      <c r="E24" s="150"/>
      <c r="F24" s="150"/>
      <c r="G24" s="27"/>
      <c r="H24" s="28"/>
      <c r="I24" s="28"/>
      <c r="J24" s="28"/>
      <c r="K24" s="28"/>
      <c r="L24" s="35"/>
      <c r="M24" s="35"/>
      <c r="N24" s="35"/>
      <c r="O24" s="30">
        <v>15000000</v>
      </c>
      <c r="P24" s="30"/>
      <c r="Q24" s="30"/>
      <c r="R24" s="30"/>
      <c r="S24" s="29">
        <f>S23</f>
        <v>5000000</v>
      </c>
    </row>
    <row r="25" spans="1:19" s="10" customFormat="1" ht="23.45" customHeight="1" thickBot="1">
      <c r="A25" s="197"/>
      <c r="B25" s="198"/>
      <c r="C25" s="8" t="s">
        <v>9</v>
      </c>
      <c r="D25" s="9">
        <f>SUM(D22)</f>
        <v>20000000</v>
      </c>
      <c r="E25" s="9">
        <f t="shared" ref="E25:F25" si="2">SUM(E22)</f>
        <v>5000000</v>
      </c>
      <c r="F25" s="9">
        <f t="shared" si="2"/>
        <v>-15000000</v>
      </c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1"/>
    </row>
    <row r="26" spans="1:19" s="3" customFormat="1" ht="23.45" customHeight="1" thickTop="1">
      <c r="A26" s="231" t="s">
        <v>24</v>
      </c>
      <c r="B26" s="233" t="s">
        <v>25</v>
      </c>
      <c r="C26" s="192" t="s">
        <v>26</v>
      </c>
      <c r="D26" s="184"/>
      <c r="E26" s="184">
        <f>S28</f>
        <v>1000000</v>
      </c>
      <c r="F26" s="202">
        <f>E26-D26</f>
        <v>1000000</v>
      </c>
      <c r="G26" s="195" t="s">
        <v>23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34"/>
    </row>
    <row r="27" spans="1:19" s="3" customFormat="1" ht="23.45" customHeight="1">
      <c r="A27" s="232"/>
      <c r="B27" s="177"/>
      <c r="C27" s="193"/>
      <c r="D27" s="149"/>
      <c r="E27" s="149"/>
      <c r="F27" s="203"/>
      <c r="G27" s="33"/>
      <c r="H27" s="25"/>
      <c r="I27" s="25"/>
      <c r="J27" s="25"/>
      <c r="K27" s="25"/>
      <c r="L27" s="182"/>
      <c r="M27" s="182"/>
      <c r="N27" s="182"/>
      <c r="O27" s="182"/>
      <c r="P27" s="182"/>
      <c r="Q27" s="182"/>
      <c r="R27" s="182"/>
      <c r="S27" s="37">
        <v>1000000</v>
      </c>
    </row>
    <row r="28" spans="1:19" s="3" customFormat="1" ht="23.45" customHeight="1">
      <c r="A28" s="232"/>
      <c r="B28" s="177"/>
      <c r="C28" s="194"/>
      <c r="D28" s="150"/>
      <c r="E28" s="150"/>
      <c r="F28" s="204"/>
      <c r="G28" s="27"/>
      <c r="H28" s="28"/>
      <c r="I28" s="28"/>
      <c r="J28" s="28"/>
      <c r="K28" s="28"/>
      <c r="L28" s="28"/>
      <c r="M28" s="30">
        <v>5000000</v>
      </c>
      <c r="N28" s="30"/>
      <c r="O28" s="30"/>
      <c r="P28" s="30"/>
      <c r="Q28" s="30"/>
      <c r="R28" s="30"/>
      <c r="S28" s="31">
        <f>S27</f>
        <v>1000000</v>
      </c>
    </row>
    <row r="29" spans="1:19" s="10" customFormat="1" ht="23.45" customHeight="1" thickBot="1">
      <c r="A29" s="197"/>
      <c r="B29" s="198"/>
      <c r="C29" s="8" t="s">
        <v>9</v>
      </c>
      <c r="D29" s="9">
        <f>SUM(D26:D28)</f>
        <v>0</v>
      </c>
      <c r="E29" s="9">
        <f>SUM(E26:E28)</f>
        <v>1000000</v>
      </c>
      <c r="F29" s="9">
        <f>SUM(F26:F28)</f>
        <v>1000000</v>
      </c>
      <c r="G29" s="199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</row>
    <row r="30" spans="1:19" s="3" customFormat="1" ht="23.45" customHeight="1" thickTop="1">
      <c r="A30" s="205" t="s">
        <v>33</v>
      </c>
      <c r="B30" s="192" t="s">
        <v>34</v>
      </c>
      <c r="C30" s="192" t="s">
        <v>30</v>
      </c>
      <c r="D30" s="184"/>
      <c r="E30" s="184">
        <f>S32</f>
        <v>0</v>
      </c>
      <c r="F30" s="184">
        <f>E30-D30</f>
        <v>0</v>
      </c>
      <c r="G30" s="195" t="s">
        <v>27</v>
      </c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34"/>
    </row>
    <row r="31" spans="1:19" s="3" customFormat="1" ht="23.45" customHeight="1">
      <c r="A31" s="206"/>
      <c r="B31" s="193"/>
      <c r="C31" s="193"/>
      <c r="D31" s="149"/>
      <c r="E31" s="149"/>
      <c r="F31" s="228"/>
      <c r="G31" s="33"/>
      <c r="H31" s="25"/>
      <c r="I31" s="25"/>
      <c r="J31" s="25"/>
      <c r="K31" s="25"/>
      <c r="L31" s="182"/>
      <c r="M31" s="182"/>
      <c r="N31" s="182"/>
      <c r="O31" s="182"/>
      <c r="P31" s="182"/>
      <c r="Q31" s="182"/>
      <c r="R31" s="182"/>
      <c r="S31" s="38">
        <v>0</v>
      </c>
    </row>
    <row r="32" spans="1:19" s="3" customFormat="1" ht="23.45" customHeight="1">
      <c r="A32" s="206"/>
      <c r="B32" s="193"/>
      <c r="C32" s="194"/>
      <c r="D32" s="150"/>
      <c r="E32" s="150"/>
      <c r="F32" s="228"/>
      <c r="G32" s="229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6">
        <f>S31</f>
        <v>0</v>
      </c>
    </row>
    <row r="33" spans="1:22" s="3" customFormat="1" ht="23.45" customHeight="1">
      <c r="A33" s="206"/>
      <c r="B33" s="193"/>
      <c r="C33" s="224" t="s">
        <v>31</v>
      </c>
      <c r="D33" s="151">
        <v>100000</v>
      </c>
      <c r="E33" s="216">
        <f>S35</f>
        <v>50000</v>
      </c>
      <c r="F33" s="218">
        <f>E33-D33</f>
        <v>-50000</v>
      </c>
      <c r="G33" s="220" t="s">
        <v>28</v>
      </c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32"/>
    </row>
    <row r="34" spans="1:22" s="3" customFormat="1" ht="23.45" customHeight="1">
      <c r="A34" s="206"/>
      <c r="B34" s="193"/>
      <c r="C34" s="193"/>
      <c r="D34" s="149"/>
      <c r="E34" s="217"/>
      <c r="F34" s="219"/>
      <c r="G34" s="11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8">
        <v>50000</v>
      </c>
    </row>
    <row r="35" spans="1:22" s="3" customFormat="1" ht="23.45" customHeight="1">
      <c r="A35" s="206"/>
      <c r="B35" s="193"/>
      <c r="C35" s="193"/>
      <c r="D35" s="149"/>
      <c r="E35" s="217"/>
      <c r="F35" s="219"/>
      <c r="G35" s="41"/>
      <c r="H35" s="41"/>
      <c r="I35" s="41"/>
      <c r="J35" s="41"/>
      <c r="K35" s="41"/>
      <c r="L35" s="223"/>
      <c r="M35" s="223"/>
      <c r="N35" s="223"/>
      <c r="O35" s="223"/>
      <c r="P35" s="223"/>
      <c r="Q35" s="223"/>
      <c r="R35" s="223"/>
      <c r="S35" s="42">
        <f>S34</f>
        <v>50000</v>
      </c>
    </row>
    <row r="36" spans="1:22" s="3" customFormat="1" ht="23.45" customHeight="1">
      <c r="A36" s="206"/>
      <c r="B36" s="193"/>
      <c r="C36" s="224" t="s">
        <v>32</v>
      </c>
      <c r="D36" s="151"/>
      <c r="E36" s="225">
        <f>S38</f>
        <v>2400000</v>
      </c>
      <c r="F36" s="149">
        <f>E36-D36</f>
        <v>2400000</v>
      </c>
      <c r="G36" s="221" t="s">
        <v>29</v>
      </c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36"/>
      <c r="S36" s="20"/>
    </row>
    <row r="37" spans="1:22" s="3" customFormat="1" ht="23.45" customHeight="1">
      <c r="A37" s="206"/>
      <c r="B37" s="193"/>
      <c r="C37" s="193"/>
      <c r="D37" s="149"/>
      <c r="E37" s="226"/>
      <c r="F37" s="149"/>
      <c r="G37" s="215" t="s">
        <v>87</v>
      </c>
      <c r="H37" s="182"/>
      <c r="I37" s="182" t="s">
        <v>38</v>
      </c>
      <c r="J37" s="182"/>
      <c r="K37" s="17" t="s">
        <v>39</v>
      </c>
      <c r="L37" s="17"/>
      <c r="M37" s="17"/>
      <c r="N37" s="17"/>
      <c r="O37" s="17"/>
      <c r="P37" s="17"/>
      <c r="Q37" s="17"/>
      <c r="R37" s="36"/>
      <c r="S37" s="39">
        <f>4*50000*12</f>
        <v>2400000</v>
      </c>
    </row>
    <row r="38" spans="1:22" s="3" customFormat="1" ht="23.45" customHeight="1">
      <c r="A38" s="206"/>
      <c r="B38" s="193"/>
      <c r="C38" s="194"/>
      <c r="D38" s="150"/>
      <c r="E38" s="227"/>
      <c r="F38" s="150"/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36"/>
      <c r="S38" s="26">
        <f>S37</f>
        <v>2400000</v>
      </c>
    </row>
    <row r="39" spans="1:22" s="3" customFormat="1" ht="23.45" customHeight="1">
      <c r="A39" s="206"/>
      <c r="B39" s="193"/>
      <c r="C39" s="224" t="s">
        <v>36</v>
      </c>
      <c r="D39" s="151">
        <v>1300000</v>
      </c>
      <c r="E39" s="151">
        <f>S41</f>
        <v>5000000</v>
      </c>
      <c r="F39" s="151">
        <f>E39-D39</f>
        <v>3700000</v>
      </c>
      <c r="G39" s="190" t="s">
        <v>35</v>
      </c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214"/>
    </row>
    <row r="40" spans="1:22" s="3" customFormat="1" ht="23.45" customHeight="1">
      <c r="A40" s="206"/>
      <c r="B40" s="193"/>
      <c r="C40" s="193"/>
      <c r="D40" s="149"/>
      <c r="E40" s="149"/>
      <c r="F40" s="149"/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37">
        <v>5000000</v>
      </c>
      <c r="V40" s="43" t="e">
        <f>S40+#REF!+#REF!</f>
        <v>#REF!</v>
      </c>
    </row>
    <row r="41" spans="1:22" s="3" customFormat="1" ht="23.45" customHeight="1">
      <c r="A41" s="207"/>
      <c r="B41" s="194"/>
      <c r="C41" s="194"/>
      <c r="D41" s="150"/>
      <c r="E41" s="150"/>
      <c r="F41" s="213"/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152"/>
      <c r="R41" s="152"/>
      <c r="S41" s="6">
        <f>S40</f>
        <v>5000000</v>
      </c>
    </row>
    <row r="42" spans="1:22" s="10" customFormat="1" ht="23.45" customHeight="1" thickBot="1">
      <c r="A42" s="208"/>
      <c r="B42" s="209"/>
      <c r="C42" s="12" t="s">
        <v>9</v>
      </c>
      <c r="D42" s="13">
        <f>SUM(D30:D41)</f>
        <v>1400000</v>
      </c>
      <c r="E42" s="13">
        <f>SUM(E30:E41)</f>
        <v>7450000</v>
      </c>
      <c r="F42" s="13">
        <f>SUM(F30:F41)</f>
        <v>6050000</v>
      </c>
      <c r="G42" s="210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</row>
    <row r="43" spans="1:22">
      <c r="A43" s="14"/>
    </row>
    <row r="44" spans="1:22">
      <c r="A44" s="15"/>
    </row>
  </sheetData>
  <mergeCells count="110">
    <mergeCell ref="A21:B21"/>
    <mergeCell ref="G21:S21"/>
    <mergeCell ref="G22:R22"/>
    <mergeCell ref="L23:R23"/>
    <mergeCell ref="A22:A24"/>
    <mergeCell ref="B22:B24"/>
    <mergeCell ref="A26:A28"/>
    <mergeCell ref="B26:B28"/>
    <mergeCell ref="C26:C28"/>
    <mergeCell ref="C33:C35"/>
    <mergeCell ref="C36:C38"/>
    <mergeCell ref="Q41:R41"/>
    <mergeCell ref="C39:C41"/>
    <mergeCell ref="D36:D38"/>
    <mergeCell ref="E36:E38"/>
    <mergeCell ref="A29:B29"/>
    <mergeCell ref="G29:S29"/>
    <mergeCell ref="D30:D32"/>
    <mergeCell ref="E30:E32"/>
    <mergeCell ref="F30:F32"/>
    <mergeCell ref="G32:R32"/>
    <mergeCell ref="A16:A20"/>
    <mergeCell ref="B16:B20"/>
    <mergeCell ref="C16:C20"/>
    <mergeCell ref="H20:I20"/>
    <mergeCell ref="J20:K20"/>
    <mergeCell ref="L20:R20"/>
    <mergeCell ref="A42:B42"/>
    <mergeCell ref="G42:S42"/>
    <mergeCell ref="D39:D41"/>
    <mergeCell ref="E39:E41"/>
    <mergeCell ref="F39:F41"/>
    <mergeCell ref="G39:S39"/>
    <mergeCell ref="G37:H37"/>
    <mergeCell ref="I37:J37"/>
    <mergeCell ref="E33:E35"/>
    <mergeCell ref="F33:F35"/>
    <mergeCell ref="A30:A41"/>
    <mergeCell ref="B30:B41"/>
    <mergeCell ref="G30:R30"/>
    <mergeCell ref="G33:R33"/>
    <mergeCell ref="G36:Q36"/>
    <mergeCell ref="L31:R31"/>
    <mergeCell ref="L35:R35"/>
    <mergeCell ref="C30:C32"/>
    <mergeCell ref="C22:C24"/>
    <mergeCell ref="G26:R26"/>
    <mergeCell ref="L27:R27"/>
    <mergeCell ref="A25:B25"/>
    <mergeCell ref="G25:S25"/>
    <mergeCell ref="D26:D28"/>
    <mergeCell ref="E26:E28"/>
    <mergeCell ref="F26:F28"/>
    <mergeCell ref="D22:D24"/>
    <mergeCell ref="E22:E24"/>
    <mergeCell ref="F22:F24"/>
    <mergeCell ref="A15:B15"/>
    <mergeCell ref="G15:S15"/>
    <mergeCell ref="D12:D14"/>
    <mergeCell ref="E12:E14"/>
    <mergeCell ref="F12:F14"/>
    <mergeCell ref="G12:R12"/>
    <mergeCell ref="H13:I13"/>
    <mergeCell ref="J13:K13"/>
    <mergeCell ref="L13:R13"/>
    <mergeCell ref="H14:I14"/>
    <mergeCell ref="J14:K14"/>
    <mergeCell ref="L14:R14"/>
    <mergeCell ref="H19:I19"/>
    <mergeCell ref="J19:K19"/>
    <mergeCell ref="L19:R19"/>
    <mergeCell ref="D16:D20"/>
    <mergeCell ref="E16:E20"/>
    <mergeCell ref="L11:R11"/>
    <mergeCell ref="G9:K9"/>
    <mergeCell ref="L9:R9"/>
    <mergeCell ref="H10:I10"/>
    <mergeCell ref="J10:K10"/>
    <mergeCell ref="L10:R10"/>
    <mergeCell ref="F16:F20"/>
    <mergeCell ref="H17:I17"/>
    <mergeCell ref="J17:K17"/>
    <mergeCell ref="L17:R17"/>
    <mergeCell ref="G18:K18"/>
    <mergeCell ref="G16:K16"/>
    <mergeCell ref="L16:R16"/>
    <mergeCell ref="F36:F38"/>
    <mergeCell ref="D33:D35"/>
    <mergeCell ref="H11:I11"/>
    <mergeCell ref="J11:K11"/>
    <mergeCell ref="A1:S1"/>
    <mergeCell ref="A3:S3"/>
    <mergeCell ref="A4:C4"/>
    <mergeCell ref="D4:F4"/>
    <mergeCell ref="G4:S5"/>
    <mergeCell ref="A6:C6"/>
    <mergeCell ref="G6:S6"/>
    <mergeCell ref="A7:A14"/>
    <mergeCell ref="B7:B14"/>
    <mergeCell ref="C7:C11"/>
    <mergeCell ref="C12:C14"/>
    <mergeCell ref="G7:K7"/>
    <mergeCell ref="L7:R7"/>
    <mergeCell ref="H8:I8"/>
    <mergeCell ref="J8:K8"/>
    <mergeCell ref="L8:R8"/>
    <mergeCell ref="D7:D11"/>
    <mergeCell ref="E7:E11"/>
    <mergeCell ref="F7:F11"/>
    <mergeCell ref="L18:R18"/>
  </mergeCells>
  <phoneticPr fontId="2" type="noConversion"/>
  <printOptions horizontalCentered="1"/>
  <pageMargins left="0.11811023622047245" right="0.11811023622047245" top="0.51181102362204722" bottom="0.19685039370078741" header="0.31496062992125984" footer="0.11811023622047245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topLeftCell="A13" workbookViewId="0">
      <selection activeCell="O21" sqref="O21"/>
    </sheetView>
  </sheetViews>
  <sheetFormatPr defaultRowHeight="12"/>
  <cols>
    <col min="1" max="3" width="10.625" style="44" customWidth="1"/>
    <col min="4" max="6" width="13.625" style="81" customWidth="1"/>
    <col min="7" max="8" width="5.25" style="44" customWidth="1"/>
    <col min="9" max="13" width="3.625" style="44" customWidth="1"/>
    <col min="14" max="14" width="5.875" style="44" customWidth="1"/>
    <col min="15" max="15" width="15.625" style="44" customWidth="1"/>
    <col min="16" max="16" width="9" style="44"/>
    <col min="17" max="17" width="14.875" style="44" customWidth="1"/>
    <col min="18" max="16384" width="9" style="44"/>
  </cols>
  <sheetData>
    <row r="1" spans="1:17" ht="35.1" customHeight="1">
      <c r="A1" s="278" t="s">
        <v>151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7" ht="15.95" customHeight="1">
      <c r="A2" s="45"/>
    </row>
    <row r="3" spans="1:17" ht="35.1" customHeight="1" thickBot="1">
      <c r="A3" s="279" t="s">
        <v>82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7" ht="30" customHeight="1">
      <c r="A4" s="280" t="s">
        <v>0</v>
      </c>
      <c r="B4" s="281"/>
      <c r="C4" s="282"/>
      <c r="D4" s="283" t="s">
        <v>83</v>
      </c>
      <c r="E4" s="284"/>
      <c r="F4" s="285"/>
      <c r="G4" s="283" t="s">
        <v>1</v>
      </c>
      <c r="H4" s="284"/>
      <c r="I4" s="284"/>
      <c r="J4" s="284"/>
      <c r="K4" s="284"/>
      <c r="L4" s="284"/>
      <c r="M4" s="284"/>
      <c r="N4" s="284"/>
      <c r="O4" s="286"/>
      <c r="Q4" s="80">
        <f>수입!E6-지출!E6</f>
        <v>0</v>
      </c>
    </row>
    <row r="5" spans="1:17" ht="30" customHeight="1" thickBot="1">
      <c r="A5" s="46" t="s">
        <v>2</v>
      </c>
      <c r="B5" s="47" t="s">
        <v>3</v>
      </c>
      <c r="C5" s="47" t="s">
        <v>4</v>
      </c>
      <c r="D5" s="48" t="s">
        <v>14</v>
      </c>
      <c r="E5" s="47" t="s">
        <v>15</v>
      </c>
      <c r="F5" s="49" t="s">
        <v>40</v>
      </c>
      <c r="G5" s="287"/>
      <c r="H5" s="288"/>
      <c r="I5" s="288"/>
      <c r="J5" s="288"/>
      <c r="K5" s="288"/>
      <c r="L5" s="288"/>
      <c r="M5" s="288"/>
      <c r="N5" s="288"/>
      <c r="O5" s="289"/>
    </row>
    <row r="6" spans="1:17" ht="30" customHeight="1" thickBot="1">
      <c r="A6" s="290" t="s">
        <v>6</v>
      </c>
      <c r="B6" s="291"/>
      <c r="C6" s="292"/>
      <c r="D6" s="50">
        <f>D87+D97+D117+D123</f>
        <v>67107852</v>
      </c>
      <c r="E6" s="50">
        <f t="shared" ref="E6:F6" si="0">E87+E97+E117+E123</f>
        <v>208126400</v>
      </c>
      <c r="F6" s="50">
        <f t="shared" si="0"/>
        <v>141018548</v>
      </c>
      <c r="G6" s="293"/>
      <c r="H6" s="294"/>
      <c r="I6" s="294"/>
      <c r="J6" s="294"/>
      <c r="K6" s="294"/>
      <c r="L6" s="294"/>
      <c r="M6" s="294"/>
      <c r="N6" s="294"/>
      <c r="O6" s="295"/>
    </row>
    <row r="7" spans="1:17" ht="24.95" customHeight="1">
      <c r="A7" s="234" t="s">
        <v>84</v>
      </c>
      <c r="B7" s="237" t="s">
        <v>85</v>
      </c>
      <c r="C7" s="237" t="s">
        <v>86</v>
      </c>
      <c r="D7" s="250">
        <v>36900000</v>
      </c>
      <c r="E7" s="250">
        <f>O15</f>
        <v>87348000</v>
      </c>
      <c r="F7" s="250">
        <f>E7-D7</f>
        <v>50448000</v>
      </c>
      <c r="G7" s="270" t="s">
        <v>152</v>
      </c>
      <c r="H7" s="271"/>
      <c r="I7" s="271"/>
      <c r="J7" s="271"/>
      <c r="K7" s="271"/>
      <c r="L7" s="271"/>
      <c r="M7" s="271"/>
      <c r="N7" s="271"/>
      <c r="O7" s="296"/>
    </row>
    <row r="8" spans="1:17" ht="24.95" customHeight="1">
      <c r="A8" s="235"/>
      <c r="B8" s="238"/>
      <c r="C8" s="238"/>
      <c r="D8" s="250"/>
      <c r="E8" s="250"/>
      <c r="F8" s="250"/>
      <c r="G8" s="240" t="s">
        <v>41</v>
      </c>
      <c r="H8" s="241"/>
      <c r="I8" s="241"/>
      <c r="J8" s="258">
        <v>1755000</v>
      </c>
      <c r="K8" s="258"/>
      <c r="L8" s="258"/>
      <c r="M8" s="258"/>
      <c r="N8" s="52" t="s">
        <v>11</v>
      </c>
      <c r="O8" s="53">
        <f>1*1755000*12</f>
        <v>21060000</v>
      </c>
    </row>
    <row r="9" spans="1:17" ht="24.95" customHeight="1">
      <c r="A9" s="235"/>
      <c r="B9" s="238"/>
      <c r="C9" s="238"/>
      <c r="D9" s="250"/>
      <c r="E9" s="250"/>
      <c r="F9" s="250"/>
      <c r="G9" s="270" t="s">
        <v>153</v>
      </c>
      <c r="H9" s="271"/>
      <c r="I9" s="271"/>
      <c r="J9" s="271"/>
      <c r="K9" s="271"/>
      <c r="L9" s="271"/>
      <c r="M9" s="271"/>
      <c r="N9" s="271"/>
      <c r="O9" s="54"/>
    </row>
    <row r="10" spans="1:17" ht="24.95" customHeight="1">
      <c r="A10" s="235"/>
      <c r="B10" s="238"/>
      <c r="C10" s="238"/>
      <c r="D10" s="250"/>
      <c r="E10" s="250"/>
      <c r="F10" s="250"/>
      <c r="G10" s="240" t="s">
        <v>41</v>
      </c>
      <c r="H10" s="241"/>
      <c r="I10" s="241"/>
      <c r="J10" s="258">
        <v>1710000</v>
      </c>
      <c r="K10" s="258"/>
      <c r="L10" s="258"/>
      <c r="M10" s="258"/>
      <c r="N10" s="52" t="s">
        <v>11</v>
      </c>
      <c r="O10" s="53">
        <f>1*1710000*12</f>
        <v>20520000</v>
      </c>
    </row>
    <row r="11" spans="1:17" ht="24.95" customHeight="1">
      <c r="A11" s="235"/>
      <c r="B11" s="238"/>
      <c r="C11" s="238"/>
      <c r="D11" s="250"/>
      <c r="E11" s="250"/>
      <c r="F11" s="250"/>
      <c r="G11" s="270" t="s">
        <v>154</v>
      </c>
      <c r="H11" s="271"/>
      <c r="I11" s="271"/>
      <c r="J11" s="271"/>
      <c r="K11" s="271"/>
      <c r="L11" s="271"/>
      <c r="M11" s="271"/>
      <c r="N11" s="271"/>
      <c r="O11" s="54"/>
    </row>
    <row r="12" spans="1:17" ht="24.95" customHeight="1">
      <c r="A12" s="235"/>
      <c r="B12" s="238"/>
      <c r="C12" s="238"/>
      <c r="D12" s="250"/>
      <c r="E12" s="250"/>
      <c r="F12" s="250"/>
      <c r="G12" s="240" t="s">
        <v>41</v>
      </c>
      <c r="H12" s="241"/>
      <c r="I12" s="241"/>
      <c r="J12" s="258">
        <v>1574000</v>
      </c>
      <c r="K12" s="258"/>
      <c r="L12" s="258"/>
      <c r="M12" s="258"/>
      <c r="N12" s="52" t="s">
        <v>11</v>
      </c>
      <c r="O12" s="53">
        <f>1*1574000*12</f>
        <v>18888000</v>
      </c>
    </row>
    <row r="13" spans="1:17" ht="24.95" customHeight="1">
      <c r="A13" s="235"/>
      <c r="B13" s="238"/>
      <c r="C13" s="238"/>
      <c r="D13" s="250"/>
      <c r="E13" s="250"/>
      <c r="F13" s="250"/>
      <c r="G13" s="270" t="s">
        <v>155</v>
      </c>
      <c r="H13" s="271"/>
      <c r="I13" s="271"/>
      <c r="J13" s="271"/>
      <c r="K13" s="271"/>
      <c r="L13" s="271"/>
      <c r="M13" s="271"/>
      <c r="N13" s="271"/>
      <c r="O13" s="54"/>
    </row>
    <row r="14" spans="1:17" ht="24.95" customHeight="1">
      <c r="A14" s="235"/>
      <c r="B14" s="238"/>
      <c r="C14" s="238"/>
      <c r="D14" s="250"/>
      <c r="E14" s="250"/>
      <c r="F14" s="250"/>
      <c r="G14" s="240" t="s">
        <v>41</v>
      </c>
      <c r="H14" s="241"/>
      <c r="I14" s="241"/>
      <c r="J14" s="258">
        <v>2240000</v>
      </c>
      <c r="K14" s="258"/>
      <c r="L14" s="258"/>
      <c r="M14" s="258"/>
      <c r="N14" s="52" t="s">
        <v>11</v>
      </c>
      <c r="O14" s="53">
        <f>1*2240000*12</f>
        <v>26880000</v>
      </c>
    </row>
    <row r="15" spans="1:17" ht="24.95" customHeight="1">
      <c r="A15" s="235"/>
      <c r="B15" s="238"/>
      <c r="C15" s="239"/>
      <c r="D15" s="251"/>
      <c r="E15" s="251"/>
      <c r="F15" s="251"/>
      <c r="G15" s="268"/>
      <c r="H15" s="269"/>
      <c r="I15" s="269"/>
      <c r="J15" s="269"/>
      <c r="K15" s="269"/>
      <c r="L15" s="269"/>
      <c r="M15" s="269"/>
      <c r="N15" s="269"/>
      <c r="O15" s="55">
        <f>SUM(O8:O14)</f>
        <v>87348000</v>
      </c>
    </row>
    <row r="16" spans="1:17" ht="24.95" customHeight="1">
      <c r="A16" s="235"/>
      <c r="B16" s="238"/>
      <c r="C16" s="238" t="s">
        <v>156</v>
      </c>
      <c r="D16" s="250">
        <v>2700000</v>
      </c>
      <c r="E16" s="250">
        <f>O18</f>
        <v>12000000</v>
      </c>
      <c r="F16" s="250">
        <f>E16-D16</f>
        <v>9300000</v>
      </c>
      <c r="G16" s="270" t="s">
        <v>88</v>
      </c>
      <c r="H16" s="271"/>
      <c r="I16" s="271"/>
      <c r="J16" s="271"/>
      <c r="K16" s="271"/>
      <c r="L16" s="271"/>
      <c r="M16" s="271"/>
      <c r="N16" s="271"/>
      <c r="O16" s="57"/>
    </row>
    <row r="17" spans="1:15" ht="24.95" customHeight="1">
      <c r="A17" s="235"/>
      <c r="B17" s="238"/>
      <c r="C17" s="238"/>
      <c r="D17" s="250"/>
      <c r="E17" s="250"/>
      <c r="F17" s="274"/>
      <c r="G17" s="257">
        <v>1000000</v>
      </c>
      <c r="H17" s="258"/>
      <c r="I17" s="258"/>
      <c r="J17" s="258"/>
      <c r="K17" s="258"/>
      <c r="L17" s="258"/>
      <c r="M17" s="258"/>
      <c r="N17" s="52" t="s">
        <v>11</v>
      </c>
      <c r="O17" s="53">
        <f>G17*12</f>
        <v>12000000</v>
      </c>
    </row>
    <row r="18" spans="1:15" ht="24.95" customHeight="1">
      <c r="A18" s="235"/>
      <c r="B18" s="238"/>
      <c r="C18" s="239"/>
      <c r="D18" s="251"/>
      <c r="E18" s="251"/>
      <c r="F18" s="275"/>
      <c r="G18" s="270"/>
      <c r="H18" s="271"/>
      <c r="I18" s="271"/>
      <c r="J18" s="271"/>
      <c r="K18" s="271"/>
      <c r="L18" s="271"/>
      <c r="M18" s="271"/>
      <c r="N18" s="271"/>
      <c r="O18" s="58">
        <f>O17</f>
        <v>12000000</v>
      </c>
    </row>
    <row r="19" spans="1:15" ht="24.95" customHeight="1">
      <c r="A19" s="235"/>
      <c r="B19" s="238"/>
      <c r="C19" s="277" t="s">
        <v>91</v>
      </c>
      <c r="D19" s="272">
        <v>3298680</v>
      </c>
      <c r="E19" s="272">
        <f>O21</f>
        <v>8279000</v>
      </c>
      <c r="F19" s="273">
        <f>E19-D19</f>
        <v>4980320</v>
      </c>
      <c r="G19" s="265" t="s">
        <v>42</v>
      </c>
      <c r="H19" s="266"/>
      <c r="I19" s="266"/>
      <c r="J19" s="266"/>
      <c r="K19" s="266"/>
      <c r="L19" s="266"/>
      <c r="M19" s="266"/>
      <c r="N19" s="266"/>
      <c r="O19" s="59"/>
    </row>
    <row r="20" spans="1:15" ht="24.95" customHeight="1">
      <c r="A20" s="235"/>
      <c r="B20" s="238"/>
      <c r="C20" s="238"/>
      <c r="D20" s="253"/>
      <c r="E20" s="253"/>
      <c r="F20" s="250"/>
      <c r="G20" s="257">
        <f>E7+E16</f>
        <v>99348000</v>
      </c>
      <c r="H20" s="258"/>
      <c r="I20" s="258"/>
      <c r="J20" s="258"/>
      <c r="K20" s="258"/>
      <c r="L20" s="258"/>
      <c r="M20" s="258"/>
      <c r="N20" s="77" t="s">
        <v>89</v>
      </c>
      <c r="O20" s="53">
        <f>G20/12</f>
        <v>8279000</v>
      </c>
    </row>
    <row r="21" spans="1:15" ht="24.95" customHeight="1">
      <c r="A21" s="235"/>
      <c r="B21" s="238"/>
      <c r="C21" s="239"/>
      <c r="D21" s="254"/>
      <c r="E21" s="254"/>
      <c r="F21" s="251"/>
      <c r="G21" s="242"/>
      <c r="H21" s="243"/>
      <c r="I21" s="243"/>
      <c r="J21" s="243"/>
      <c r="K21" s="243"/>
      <c r="L21" s="243"/>
      <c r="M21" s="243"/>
      <c r="N21" s="61"/>
      <c r="O21" s="55">
        <f>O20</f>
        <v>8279000</v>
      </c>
    </row>
    <row r="22" spans="1:15" ht="24.95" customHeight="1">
      <c r="A22" s="235"/>
      <c r="B22" s="238"/>
      <c r="C22" s="277" t="s">
        <v>92</v>
      </c>
      <c r="D22" s="272">
        <v>4398075</v>
      </c>
      <c r="E22" s="272">
        <f>O30</f>
        <v>8593602</v>
      </c>
      <c r="F22" s="273">
        <f>E22-D22</f>
        <v>4195527</v>
      </c>
      <c r="G22" s="265" t="s">
        <v>90</v>
      </c>
      <c r="H22" s="266"/>
      <c r="I22" s="266"/>
      <c r="J22" s="266"/>
      <c r="K22" s="266"/>
      <c r="L22" s="266"/>
      <c r="M22" s="266"/>
      <c r="N22" s="266"/>
      <c r="O22" s="59"/>
    </row>
    <row r="23" spans="1:15" ht="24.95" customHeight="1">
      <c r="A23" s="235"/>
      <c r="B23" s="238"/>
      <c r="C23" s="238"/>
      <c r="D23" s="253"/>
      <c r="E23" s="253"/>
      <c r="F23" s="250"/>
      <c r="G23" s="257">
        <f>G20</f>
        <v>99348000</v>
      </c>
      <c r="H23" s="258"/>
      <c r="I23" s="258"/>
      <c r="J23" s="258"/>
      <c r="K23" s="258"/>
      <c r="L23" s="258"/>
      <c r="M23" s="258"/>
      <c r="N23" s="60">
        <v>2.9950000000000001E-2</v>
      </c>
      <c r="O23" s="53">
        <f>G23*3%</f>
        <v>2980440</v>
      </c>
    </row>
    <row r="24" spans="1:15" ht="24.95" customHeight="1">
      <c r="A24" s="235"/>
      <c r="B24" s="238"/>
      <c r="C24" s="238"/>
      <c r="D24" s="253"/>
      <c r="E24" s="253"/>
      <c r="F24" s="250"/>
      <c r="G24" s="270" t="s">
        <v>43</v>
      </c>
      <c r="H24" s="271"/>
      <c r="I24" s="271"/>
      <c r="J24" s="271"/>
      <c r="K24" s="271"/>
      <c r="L24" s="271"/>
      <c r="M24" s="271"/>
      <c r="N24" s="271"/>
      <c r="O24" s="57"/>
    </row>
    <row r="25" spans="1:15" ht="24.95" customHeight="1">
      <c r="A25" s="235"/>
      <c r="B25" s="238"/>
      <c r="C25" s="238"/>
      <c r="D25" s="253"/>
      <c r="E25" s="253"/>
      <c r="F25" s="250"/>
      <c r="G25" s="257">
        <f>G20</f>
        <v>99348000</v>
      </c>
      <c r="H25" s="258"/>
      <c r="I25" s="258"/>
      <c r="J25" s="258"/>
      <c r="K25" s="258"/>
      <c r="L25" s="258"/>
      <c r="M25" s="258"/>
      <c r="N25" s="60">
        <v>4.4999999999999998E-2</v>
      </c>
      <c r="O25" s="53">
        <f>G25*4.5%</f>
        <v>4470660</v>
      </c>
    </row>
    <row r="26" spans="1:15" ht="24.95" customHeight="1">
      <c r="A26" s="235"/>
      <c r="B26" s="238"/>
      <c r="C26" s="238"/>
      <c r="D26" s="253"/>
      <c r="E26" s="253"/>
      <c r="F26" s="250"/>
      <c r="G26" s="270" t="s">
        <v>44</v>
      </c>
      <c r="H26" s="271"/>
      <c r="I26" s="271"/>
      <c r="J26" s="271"/>
      <c r="K26" s="271"/>
      <c r="L26" s="271"/>
      <c r="M26" s="271"/>
      <c r="N26" s="271"/>
      <c r="O26" s="57"/>
    </row>
    <row r="27" spans="1:15" ht="24.95" customHeight="1">
      <c r="A27" s="235"/>
      <c r="B27" s="238"/>
      <c r="C27" s="238"/>
      <c r="D27" s="253"/>
      <c r="E27" s="253"/>
      <c r="F27" s="250"/>
      <c r="G27" s="257">
        <f>G20</f>
        <v>99348000</v>
      </c>
      <c r="H27" s="258"/>
      <c r="I27" s="258"/>
      <c r="J27" s="258"/>
      <c r="K27" s="258"/>
      <c r="L27" s="258"/>
      <c r="M27" s="258"/>
      <c r="N27" s="60">
        <v>6.4999999999999997E-3</v>
      </c>
      <c r="O27" s="53">
        <f>G27*0.65%</f>
        <v>645762</v>
      </c>
    </row>
    <row r="28" spans="1:15" ht="24.95" customHeight="1">
      <c r="A28" s="235"/>
      <c r="B28" s="238"/>
      <c r="C28" s="238"/>
      <c r="D28" s="253"/>
      <c r="E28" s="253"/>
      <c r="F28" s="250"/>
      <c r="G28" s="270" t="s">
        <v>45</v>
      </c>
      <c r="H28" s="271"/>
      <c r="I28" s="271"/>
      <c r="J28" s="271"/>
      <c r="K28" s="271"/>
      <c r="L28" s="271"/>
      <c r="M28" s="271"/>
      <c r="N28" s="271"/>
      <c r="O28" s="57"/>
    </row>
    <row r="29" spans="1:15" ht="24.95" customHeight="1">
      <c r="A29" s="235"/>
      <c r="B29" s="238"/>
      <c r="C29" s="238"/>
      <c r="D29" s="253"/>
      <c r="E29" s="253"/>
      <c r="F29" s="250"/>
      <c r="G29" s="257">
        <f>G20</f>
        <v>99348000</v>
      </c>
      <c r="H29" s="258"/>
      <c r="I29" s="258"/>
      <c r="J29" s="258"/>
      <c r="K29" s="258"/>
      <c r="L29" s="258"/>
      <c r="M29" s="258"/>
      <c r="N29" s="60">
        <v>5.0000000000000001E-3</v>
      </c>
      <c r="O29" s="53">
        <f>G29*0.5%</f>
        <v>496740</v>
      </c>
    </row>
    <row r="30" spans="1:15" ht="24.95" customHeight="1">
      <c r="A30" s="235"/>
      <c r="B30" s="238"/>
      <c r="C30" s="239"/>
      <c r="D30" s="254"/>
      <c r="E30" s="254"/>
      <c r="F30" s="251"/>
      <c r="G30" s="242"/>
      <c r="H30" s="243"/>
      <c r="I30" s="243"/>
      <c r="J30" s="243"/>
      <c r="K30" s="243"/>
      <c r="L30" s="243"/>
      <c r="M30" s="243"/>
      <c r="N30" s="243"/>
      <c r="O30" s="55">
        <f>O23+O25+O27+O29</f>
        <v>8593602</v>
      </c>
    </row>
    <row r="31" spans="1:15" ht="24.95" customHeight="1">
      <c r="A31" s="235"/>
      <c r="B31" s="238"/>
      <c r="C31" s="277" t="s">
        <v>124</v>
      </c>
      <c r="D31" s="273">
        <v>780000</v>
      </c>
      <c r="E31" s="273">
        <f>O33</f>
        <v>0</v>
      </c>
      <c r="F31" s="273">
        <f>E31-D31</f>
        <v>-780000</v>
      </c>
      <c r="G31" s="302" t="s">
        <v>162</v>
      </c>
      <c r="H31" s="303"/>
      <c r="I31" s="303"/>
      <c r="J31" s="303"/>
      <c r="K31" s="303"/>
      <c r="L31" s="303"/>
      <c r="M31" s="303"/>
      <c r="N31" s="52"/>
      <c r="O31" s="78"/>
    </row>
    <row r="32" spans="1:15" ht="24.95" customHeight="1">
      <c r="A32" s="235"/>
      <c r="B32" s="238"/>
      <c r="C32" s="238"/>
      <c r="D32" s="250"/>
      <c r="E32" s="250"/>
      <c r="F32" s="250"/>
      <c r="G32" s="51"/>
      <c r="H32" s="52"/>
      <c r="I32" s="52"/>
      <c r="J32" s="52"/>
      <c r="K32" s="52"/>
      <c r="L32" s="52"/>
      <c r="M32" s="52"/>
      <c r="N32" s="52"/>
      <c r="O32" s="78">
        <v>0</v>
      </c>
    </row>
    <row r="33" spans="1:15" ht="24.95" customHeight="1">
      <c r="A33" s="235"/>
      <c r="B33" s="239"/>
      <c r="C33" s="239"/>
      <c r="D33" s="251"/>
      <c r="E33" s="251"/>
      <c r="F33" s="251"/>
      <c r="G33" s="51"/>
      <c r="H33" s="52"/>
      <c r="I33" s="52"/>
      <c r="J33" s="52"/>
      <c r="K33" s="52"/>
      <c r="L33" s="52"/>
      <c r="M33" s="52"/>
      <c r="N33" s="52"/>
      <c r="O33" s="79">
        <f>O32</f>
        <v>0</v>
      </c>
    </row>
    <row r="34" spans="1:15" ht="24.95" customHeight="1">
      <c r="A34" s="235"/>
      <c r="B34" s="277" t="s">
        <v>93</v>
      </c>
      <c r="C34" s="277" t="s">
        <v>94</v>
      </c>
      <c r="D34" s="272">
        <v>0</v>
      </c>
      <c r="E34" s="272">
        <f>O36</f>
        <v>800000</v>
      </c>
      <c r="F34" s="273">
        <f>E34-D34</f>
        <v>800000</v>
      </c>
      <c r="G34" s="265" t="s">
        <v>49</v>
      </c>
      <c r="H34" s="266"/>
      <c r="I34" s="266"/>
      <c r="J34" s="266"/>
      <c r="K34" s="266"/>
      <c r="L34" s="266"/>
      <c r="M34" s="266"/>
      <c r="N34" s="266"/>
      <c r="O34" s="59"/>
    </row>
    <row r="35" spans="1:15" ht="24.95" customHeight="1">
      <c r="A35" s="235"/>
      <c r="B35" s="238"/>
      <c r="C35" s="238"/>
      <c r="D35" s="253"/>
      <c r="E35" s="253"/>
      <c r="F35" s="250"/>
      <c r="G35" s="257">
        <v>200000</v>
      </c>
      <c r="H35" s="258"/>
      <c r="I35" s="258"/>
      <c r="J35" s="258"/>
      <c r="K35" s="258"/>
      <c r="L35" s="258"/>
      <c r="M35" s="258"/>
      <c r="N35" s="120" t="s">
        <v>159</v>
      </c>
      <c r="O35" s="53">
        <f>G35*4</f>
        <v>800000</v>
      </c>
    </row>
    <row r="36" spans="1:15" ht="24.95" customHeight="1">
      <c r="A36" s="235"/>
      <c r="B36" s="238"/>
      <c r="C36" s="239"/>
      <c r="D36" s="254"/>
      <c r="E36" s="254"/>
      <c r="F36" s="251"/>
      <c r="G36" s="242"/>
      <c r="H36" s="243"/>
      <c r="I36" s="243"/>
      <c r="J36" s="243"/>
      <c r="K36" s="243"/>
      <c r="L36" s="243"/>
      <c r="M36" s="243"/>
      <c r="N36" s="61"/>
      <c r="O36" s="55">
        <f>SUM(O35)</f>
        <v>800000</v>
      </c>
    </row>
    <row r="37" spans="1:15" ht="24.95" customHeight="1">
      <c r="A37" s="235"/>
      <c r="B37" s="238"/>
      <c r="C37" s="277" t="s">
        <v>95</v>
      </c>
      <c r="D37" s="262">
        <v>100000</v>
      </c>
      <c r="E37" s="262">
        <f>O39</f>
        <v>1200000</v>
      </c>
      <c r="F37" s="262">
        <f>E37-D37</f>
        <v>1100000</v>
      </c>
      <c r="G37" s="265" t="s">
        <v>50</v>
      </c>
      <c r="H37" s="266"/>
      <c r="I37" s="266"/>
      <c r="J37" s="266"/>
      <c r="K37" s="266"/>
      <c r="L37" s="266"/>
      <c r="M37" s="266"/>
      <c r="N37" s="266"/>
      <c r="O37" s="59"/>
    </row>
    <row r="38" spans="1:15" ht="24.95" customHeight="1">
      <c r="A38" s="235"/>
      <c r="B38" s="238"/>
      <c r="C38" s="238"/>
      <c r="D38" s="263"/>
      <c r="E38" s="263"/>
      <c r="F38" s="263"/>
      <c r="G38" s="257">
        <v>300000</v>
      </c>
      <c r="H38" s="258"/>
      <c r="I38" s="258"/>
      <c r="J38" s="258"/>
      <c r="K38" s="258"/>
      <c r="L38" s="258"/>
      <c r="M38" s="258"/>
      <c r="N38" s="52" t="s">
        <v>51</v>
      </c>
      <c r="O38" s="53">
        <f>G38*4</f>
        <v>1200000</v>
      </c>
    </row>
    <row r="39" spans="1:15" ht="24.95" customHeight="1">
      <c r="A39" s="235"/>
      <c r="B39" s="308"/>
      <c r="C39" s="239"/>
      <c r="D39" s="264"/>
      <c r="E39" s="264"/>
      <c r="F39" s="264"/>
      <c r="G39" s="242"/>
      <c r="H39" s="243"/>
      <c r="I39" s="243"/>
      <c r="J39" s="243"/>
      <c r="K39" s="243"/>
      <c r="L39" s="243"/>
      <c r="M39" s="243"/>
      <c r="N39" s="61"/>
      <c r="O39" s="55">
        <f>O38</f>
        <v>1200000</v>
      </c>
    </row>
    <row r="40" spans="1:15" ht="21" customHeight="1">
      <c r="A40" s="235"/>
      <c r="B40" s="309" t="s">
        <v>96</v>
      </c>
      <c r="C40" s="277" t="s">
        <v>97</v>
      </c>
      <c r="D40" s="259"/>
      <c r="E40" s="259">
        <f>O42</f>
        <v>800000</v>
      </c>
      <c r="F40" s="262">
        <f>E40-D40</f>
        <v>800000</v>
      </c>
      <c r="G40" s="265" t="s">
        <v>52</v>
      </c>
      <c r="H40" s="266"/>
      <c r="I40" s="266"/>
      <c r="J40" s="266"/>
      <c r="K40" s="266"/>
      <c r="L40" s="266"/>
      <c r="M40" s="266"/>
      <c r="N40" s="266"/>
      <c r="O40" s="59"/>
    </row>
    <row r="41" spans="1:15" ht="21" customHeight="1">
      <c r="A41" s="235"/>
      <c r="B41" s="238"/>
      <c r="C41" s="238"/>
      <c r="D41" s="260"/>
      <c r="E41" s="260"/>
      <c r="F41" s="263"/>
      <c r="G41" s="257">
        <v>200000</v>
      </c>
      <c r="H41" s="258"/>
      <c r="I41" s="258"/>
      <c r="J41" s="258"/>
      <c r="K41" s="258"/>
      <c r="L41" s="258"/>
      <c r="M41" s="258"/>
      <c r="N41" s="52" t="s">
        <v>53</v>
      </c>
      <c r="O41" s="53">
        <f>G41*4</f>
        <v>800000</v>
      </c>
    </row>
    <row r="42" spans="1:15" ht="21" customHeight="1">
      <c r="A42" s="235"/>
      <c r="B42" s="238"/>
      <c r="C42" s="239"/>
      <c r="D42" s="261"/>
      <c r="E42" s="261"/>
      <c r="F42" s="264"/>
      <c r="G42" s="242"/>
      <c r="H42" s="243"/>
      <c r="I42" s="243"/>
      <c r="J42" s="243"/>
      <c r="K42" s="243"/>
      <c r="L42" s="243"/>
      <c r="M42" s="243"/>
      <c r="N42" s="61"/>
      <c r="O42" s="55">
        <f>O41</f>
        <v>800000</v>
      </c>
    </row>
    <row r="43" spans="1:15" ht="21" customHeight="1">
      <c r="A43" s="235"/>
      <c r="B43" s="238"/>
      <c r="C43" s="277" t="s">
        <v>98</v>
      </c>
      <c r="D43" s="272">
        <v>900000</v>
      </c>
      <c r="E43" s="272">
        <f>O51</f>
        <v>6800000</v>
      </c>
      <c r="F43" s="273">
        <f>E43-D43</f>
        <v>5900000</v>
      </c>
      <c r="G43" s="265" t="s">
        <v>54</v>
      </c>
      <c r="H43" s="266"/>
      <c r="I43" s="266"/>
      <c r="J43" s="266"/>
      <c r="K43" s="266"/>
      <c r="L43" s="266"/>
      <c r="M43" s="266"/>
      <c r="N43" s="266"/>
      <c r="O43" s="59"/>
    </row>
    <row r="44" spans="1:15" ht="21" customHeight="1">
      <c r="A44" s="235"/>
      <c r="B44" s="238"/>
      <c r="C44" s="238"/>
      <c r="D44" s="253"/>
      <c r="E44" s="253"/>
      <c r="F44" s="250"/>
      <c r="G44" s="257">
        <v>200000</v>
      </c>
      <c r="H44" s="258"/>
      <c r="I44" s="258"/>
      <c r="J44" s="258"/>
      <c r="K44" s="258"/>
      <c r="L44" s="258"/>
      <c r="M44" s="258"/>
      <c r="N44" s="52" t="s">
        <v>11</v>
      </c>
      <c r="O44" s="53">
        <f>G44*12</f>
        <v>2400000</v>
      </c>
    </row>
    <row r="45" spans="1:15" ht="21" customHeight="1">
      <c r="A45" s="235"/>
      <c r="B45" s="238"/>
      <c r="C45" s="238"/>
      <c r="D45" s="253"/>
      <c r="E45" s="253"/>
      <c r="F45" s="250"/>
      <c r="G45" s="270" t="s">
        <v>100</v>
      </c>
      <c r="H45" s="271"/>
      <c r="I45" s="271"/>
      <c r="J45" s="271"/>
      <c r="K45" s="271"/>
      <c r="L45" s="271"/>
      <c r="M45" s="271"/>
      <c r="N45" s="271"/>
      <c r="O45" s="57"/>
    </row>
    <row r="46" spans="1:15" ht="21" customHeight="1">
      <c r="A46" s="235"/>
      <c r="B46" s="238"/>
      <c r="C46" s="238"/>
      <c r="D46" s="253"/>
      <c r="E46" s="253"/>
      <c r="F46" s="250"/>
      <c r="G46" s="257">
        <v>100000</v>
      </c>
      <c r="H46" s="258"/>
      <c r="I46" s="258"/>
      <c r="J46" s="258"/>
      <c r="K46" s="258"/>
      <c r="L46" s="258"/>
      <c r="M46" s="258"/>
      <c r="N46" s="52" t="s">
        <v>99</v>
      </c>
      <c r="O46" s="53">
        <f>G46*4</f>
        <v>400000</v>
      </c>
    </row>
    <row r="47" spans="1:15" ht="21" customHeight="1">
      <c r="A47" s="235"/>
      <c r="B47" s="238"/>
      <c r="C47" s="238"/>
      <c r="D47" s="253"/>
      <c r="E47" s="253"/>
      <c r="F47" s="250"/>
      <c r="G47" s="270" t="s">
        <v>55</v>
      </c>
      <c r="H47" s="271"/>
      <c r="I47" s="271"/>
      <c r="J47" s="271"/>
      <c r="K47" s="271"/>
      <c r="L47" s="271"/>
      <c r="M47" s="271"/>
      <c r="N47" s="271"/>
      <c r="O47" s="54"/>
    </row>
    <row r="48" spans="1:15" ht="21" customHeight="1">
      <c r="A48" s="235"/>
      <c r="B48" s="238"/>
      <c r="C48" s="238"/>
      <c r="D48" s="253"/>
      <c r="E48" s="253"/>
      <c r="F48" s="250"/>
      <c r="G48" s="257">
        <v>500000</v>
      </c>
      <c r="H48" s="258"/>
      <c r="I48" s="258"/>
      <c r="J48" s="258"/>
      <c r="K48" s="258"/>
      <c r="L48" s="258"/>
      <c r="M48" s="258"/>
      <c r="N48" s="120" t="s">
        <v>159</v>
      </c>
      <c r="O48" s="53">
        <f>G48*4</f>
        <v>2000000</v>
      </c>
    </row>
    <row r="49" spans="1:15" ht="21" customHeight="1">
      <c r="A49" s="235"/>
      <c r="B49" s="238"/>
      <c r="C49" s="238"/>
      <c r="D49" s="253"/>
      <c r="E49" s="253"/>
      <c r="F49" s="250"/>
      <c r="G49" s="270" t="s">
        <v>56</v>
      </c>
      <c r="H49" s="271"/>
      <c r="I49" s="271"/>
      <c r="J49" s="271"/>
      <c r="K49" s="271"/>
      <c r="L49" s="271"/>
      <c r="M49" s="271"/>
      <c r="N49" s="271"/>
      <c r="O49" s="54"/>
    </row>
    <row r="50" spans="1:15" ht="21" customHeight="1">
      <c r="A50" s="235"/>
      <c r="B50" s="238"/>
      <c r="C50" s="238"/>
      <c r="D50" s="253"/>
      <c r="E50" s="253"/>
      <c r="F50" s="250"/>
      <c r="G50" s="257">
        <v>500000</v>
      </c>
      <c r="H50" s="258"/>
      <c r="I50" s="258"/>
      <c r="J50" s="258"/>
      <c r="K50" s="258"/>
      <c r="L50" s="258"/>
      <c r="M50" s="258"/>
      <c r="N50" s="52" t="s">
        <v>51</v>
      </c>
      <c r="O50" s="53">
        <f>G50*4</f>
        <v>2000000</v>
      </c>
    </row>
    <row r="51" spans="1:15" ht="21" customHeight="1">
      <c r="A51" s="235"/>
      <c r="B51" s="238"/>
      <c r="C51" s="239"/>
      <c r="D51" s="254"/>
      <c r="E51" s="254"/>
      <c r="F51" s="251"/>
      <c r="G51" s="268"/>
      <c r="H51" s="269"/>
      <c r="I51" s="269"/>
      <c r="J51" s="269"/>
      <c r="K51" s="269"/>
      <c r="L51" s="269"/>
      <c r="M51" s="269"/>
      <c r="N51" s="269"/>
      <c r="O51" s="55">
        <f>SUM(O44:O50)</f>
        <v>6800000</v>
      </c>
    </row>
    <row r="52" spans="1:15" ht="21" customHeight="1">
      <c r="A52" s="235"/>
      <c r="B52" s="238"/>
      <c r="C52" s="277" t="s">
        <v>101</v>
      </c>
      <c r="D52" s="273">
        <v>1700000</v>
      </c>
      <c r="E52" s="273">
        <f>O66</f>
        <v>21140000</v>
      </c>
      <c r="F52" s="273">
        <f>E52-D52</f>
        <v>19440000</v>
      </c>
      <c r="G52" s="265" t="s">
        <v>57</v>
      </c>
      <c r="H52" s="266"/>
      <c r="I52" s="266"/>
      <c r="J52" s="266"/>
      <c r="K52" s="266"/>
      <c r="L52" s="266"/>
      <c r="M52" s="266"/>
      <c r="N52" s="266"/>
      <c r="O52" s="73"/>
    </row>
    <row r="53" spans="1:15" ht="21" customHeight="1">
      <c r="A53" s="235"/>
      <c r="B53" s="238"/>
      <c r="C53" s="238"/>
      <c r="D53" s="250"/>
      <c r="E53" s="250"/>
      <c r="F53" s="250"/>
      <c r="G53" s="257">
        <v>20000</v>
      </c>
      <c r="H53" s="258"/>
      <c r="I53" s="258"/>
      <c r="J53" s="258"/>
      <c r="K53" s="258"/>
      <c r="L53" s="258"/>
      <c r="M53" s="258"/>
      <c r="N53" s="52" t="s">
        <v>11</v>
      </c>
      <c r="O53" s="53">
        <f>G53*12</f>
        <v>240000</v>
      </c>
    </row>
    <row r="54" spans="1:15" ht="21" customHeight="1">
      <c r="A54" s="235"/>
      <c r="B54" s="238"/>
      <c r="C54" s="238"/>
      <c r="D54" s="250"/>
      <c r="E54" s="250"/>
      <c r="F54" s="250"/>
      <c r="G54" s="270" t="s">
        <v>58</v>
      </c>
      <c r="H54" s="271"/>
      <c r="I54" s="271"/>
      <c r="J54" s="271"/>
      <c r="K54" s="271"/>
      <c r="L54" s="271"/>
      <c r="M54" s="271"/>
      <c r="N54" s="271"/>
      <c r="O54" s="54"/>
    </row>
    <row r="55" spans="1:15" ht="21" customHeight="1">
      <c r="A55" s="235"/>
      <c r="B55" s="238"/>
      <c r="C55" s="238"/>
      <c r="D55" s="250"/>
      <c r="E55" s="250"/>
      <c r="F55" s="250"/>
      <c r="G55" s="257">
        <v>1000000</v>
      </c>
      <c r="H55" s="258"/>
      <c r="I55" s="258"/>
      <c r="J55" s="258"/>
      <c r="K55" s="258"/>
      <c r="L55" s="258"/>
      <c r="M55" s="258"/>
      <c r="N55" s="52" t="s">
        <v>11</v>
      </c>
      <c r="O55" s="53">
        <f>G55*12</f>
        <v>12000000</v>
      </c>
    </row>
    <row r="56" spans="1:15" ht="21" customHeight="1">
      <c r="A56" s="235"/>
      <c r="B56" s="238"/>
      <c r="C56" s="238"/>
      <c r="D56" s="250"/>
      <c r="E56" s="250"/>
      <c r="F56" s="250"/>
      <c r="G56" s="270" t="s">
        <v>59</v>
      </c>
      <c r="H56" s="271"/>
      <c r="I56" s="271"/>
      <c r="J56" s="271"/>
      <c r="K56" s="271"/>
      <c r="L56" s="271"/>
      <c r="M56" s="271"/>
      <c r="N56" s="271"/>
      <c r="O56" s="74"/>
    </row>
    <row r="57" spans="1:15" ht="21" customHeight="1">
      <c r="A57" s="235"/>
      <c r="B57" s="238"/>
      <c r="C57" s="238"/>
      <c r="D57" s="250"/>
      <c r="E57" s="250"/>
      <c r="F57" s="250"/>
      <c r="G57" s="257">
        <v>500000</v>
      </c>
      <c r="H57" s="258"/>
      <c r="I57" s="258"/>
      <c r="J57" s="258"/>
      <c r="K57" s="258"/>
      <c r="L57" s="258"/>
      <c r="M57" s="258"/>
      <c r="N57" s="52" t="s">
        <v>102</v>
      </c>
      <c r="O57" s="53">
        <f>G57*1</f>
        <v>500000</v>
      </c>
    </row>
    <row r="58" spans="1:15" ht="21" customHeight="1">
      <c r="A58" s="235"/>
      <c r="B58" s="238"/>
      <c r="C58" s="238"/>
      <c r="D58" s="250"/>
      <c r="E58" s="250"/>
      <c r="F58" s="250"/>
      <c r="G58" s="270" t="s">
        <v>60</v>
      </c>
      <c r="H58" s="271"/>
      <c r="I58" s="271"/>
      <c r="J58" s="271"/>
      <c r="K58" s="271"/>
      <c r="L58" s="271"/>
      <c r="M58" s="271"/>
      <c r="N58" s="271"/>
      <c r="O58" s="54"/>
    </row>
    <row r="59" spans="1:15" ht="21" customHeight="1">
      <c r="A59" s="235"/>
      <c r="B59" s="238"/>
      <c r="C59" s="238"/>
      <c r="D59" s="250"/>
      <c r="E59" s="250"/>
      <c r="F59" s="250"/>
      <c r="G59" s="257">
        <v>200000</v>
      </c>
      <c r="H59" s="258"/>
      <c r="I59" s="258"/>
      <c r="J59" s="258"/>
      <c r="K59" s="258"/>
      <c r="L59" s="258"/>
      <c r="M59" s="258"/>
      <c r="N59" s="52" t="s">
        <v>11</v>
      </c>
      <c r="O59" s="53">
        <f>G59*12</f>
        <v>2400000</v>
      </c>
    </row>
    <row r="60" spans="1:15" ht="21" customHeight="1">
      <c r="A60" s="235"/>
      <c r="B60" s="238"/>
      <c r="C60" s="238"/>
      <c r="D60" s="250"/>
      <c r="E60" s="250"/>
      <c r="F60" s="250"/>
      <c r="G60" s="270" t="s">
        <v>61</v>
      </c>
      <c r="H60" s="271"/>
      <c r="I60" s="271"/>
      <c r="J60" s="271"/>
      <c r="K60" s="271"/>
      <c r="L60" s="271"/>
      <c r="M60" s="271"/>
      <c r="N60" s="271"/>
      <c r="O60" s="54"/>
    </row>
    <row r="61" spans="1:15" ht="21" customHeight="1">
      <c r="A61" s="235"/>
      <c r="B61" s="238"/>
      <c r="C61" s="238"/>
      <c r="D61" s="250"/>
      <c r="E61" s="250"/>
      <c r="F61" s="250"/>
      <c r="G61" s="257">
        <v>2000000</v>
      </c>
      <c r="H61" s="258"/>
      <c r="I61" s="258"/>
      <c r="J61" s="258"/>
      <c r="K61" s="258"/>
      <c r="L61" s="258"/>
      <c r="M61" s="258"/>
      <c r="N61" s="52" t="s">
        <v>62</v>
      </c>
      <c r="O61" s="53">
        <f>G61*1</f>
        <v>2000000</v>
      </c>
    </row>
    <row r="62" spans="1:15" ht="21" customHeight="1">
      <c r="A62" s="235"/>
      <c r="B62" s="238"/>
      <c r="C62" s="238"/>
      <c r="D62" s="250"/>
      <c r="E62" s="250"/>
      <c r="F62" s="250"/>
      <c r="G62" s="270" t="s">
        <v>63</v>
      </c>
      <c r="H62" s="271"/>
      <c r="I62" s="271"/>
      <c r="J62" s="271"/>
      <c r="K62" s="271"/>
      <c r="L62" s="271"/>
      <c r="M62" s="271"/>
      <c r="N62" s="271"/>
      <c r="O62" s="54"/>
    </row>
    <row r="63" spans="1:15" ht="21" customHeight="1">
      <c r="A63" s="235"/>
      <c r="B63" s="238"/>
      <c r="C63" s="238"/>
      <c r="D63" s="250"/>
      <c r="E63" s="250"/>
      <c r="F63" s="250"/>
      <c r="G63" s="257">
        <v>1000000</v>
      </c>
      <c r="H63" s="258"/>
      <c r="I63" s="258"/>
      <c r="J63" s="258"/>
      <c r="K63" s="258"/>
      <c r="L63" s="258"/>
      <c r="M63" s="258"/>
      <c r="N63" s="120" t="s">
        <v>160</v>
      </c>
      <c r="O63" s="53">
        <f>G63*2</f>
        <v>2000000</v>
      </c>
    </row>
    <row r="64" spans="1:15" ht="21" customHeight="1">
      <c r="A64" s="235"/>
      <c r="B64" s="238"/>
      <c r="C64" s="238"/>
      <c r="D64" s="250"/>
      <c r="E64" s="250"/>
      <c r="F64" s="250"/>
      <c r="G64" s="270" t="s">
        <v>64</v>
      </c>
      <c r="H64" s="271"/>
      <c r="I64" s="271"/>
      <c r="J64" s="271"/>
      <c r="K64" s="271"/>
      <c r="L64" s="271"/>
      <c r="M64" s="271"/>
      <c r="N64" s="271"/>
      <c r="O64" s="54"/>
    </row>
    <row r="65" spans="1:15" ht="21" customHeight="1">
      <c r="A65" s="235"/>
      <c r="B65" s="238"/>
      <c r="C65" s="238"/>
      <c r="D65" s="250"/>
      <c r="E65" s="250"/>
      <c r="F65" s="250"/>
      <c r="G65" s="257">
        <v>2000000</v>
      </c>
      <c r="H65" s="258"/>
      <c r="I65" s="258"/>
      <c r="J65" s="258"/>
      <c r="K65" s="258"/>
      <c r="L65" s="258"/>
      <c r="M65" s="258"/>
      <c r="N65" s="52" t="s">
        <v>62</v>
      </c>
      <c r="O65" s="53">
        <f>G65*1</f>
        <v>2000000</v>
      </c>
    </row>
    <row r="66" spans="1:15" ht="21" customHeight="1">
      <c r="A66" s="235"/>
      <c r="B66" s="238"/>
      <c r="C66" s="239"/>
      <c r="D66" s="251"/>
      <c r="E66" s="251"/>
      <c r="F66" s="251"/>
      <c r="G66" s="240"/>
      <c r="H66" s="241"/>
      <c r="I66" s="241"/>
      <c r="J66" s="241"/>
      <c r="K66" s="241"/>
      <c r="L66" s="241"/>
      <c r="M66" s="241"/>
      <c r="N66" s="52"/>
      <c r="O66" s="62">
        <f>SUM(O53:O65)</f>
        <v>21140000</v>
      </c>
    </row>
    <row r="67" spans="1:15" ht="21" customHeight="1">
      <c r="A67" s="235"/>
      <c r="B67" s="238"/>
      <c r="C67" s="277" t="s">
        <v>103</v>
      </c>
      <c r="D67" s="262">
        <v>850000</v>
      </c>
      <c r="E67" s="262">
        <f>O73</f>
        <v>8800000</v>
      </c>
      <c r="F67" s="276">
        <f>E67-D67</f>
        <v>7950000</v>
      </c>
      <c r="G67" s="265" t="s">
        <v>65</v>
      </c>
      <c r="H67" s="266"/>
      <c r="I67" s="266"/>
      <c r="J67" s="266"/>
      <c r="K67" s="266"/>
      <c r="L67" s="266"/>
      <c r="M67" s="266"/>
      <c r="N67" s="266"/>
      <c r="O67" s="59"/>
    </row>
    <row r="68" spans="1:15" ht="21" customHeight="1">
      <c r="A68" s="235"/>
      <c r="B68" s="238"/>
      <c r="C68" s="238"/>
      <c r="D68" s="263"/>
      <c r="E68" s="263"/>
      <c r="F68" s="274"/>
      <c r="G68" s="257">
        <v>600000</v>
      </c>
      <c r="H68" s="258"/>
      <c r="I68" s="258"/>
      <c r="J68" s="258"/>
      <c r="K68" s="258"/>
      <c r="L68" s="258"/>
      <c r="M68" s="258"/>
      <c r="N68" s="52" t="s">
        <v>11</v>
      </c>
      <c r="O68" s="53">
        <f>G68*12</f>
        <v>7200000</v>
      </c>
    </row>
    <row r="69" spans="1:15" ht="21" customHeight="1">
      <c r="A69" s="235"/>
      <c r="B69" s="238"/>
      <c r="C69" s="238"/>
      <c r="D69" s="263"/>
      <c r="E69" s="263"/>
      <c r="F69" s="274"/>
      <c r="G69" s="270" t="s">
        <v>66</v>
      </c>
      <c r="H69" s="271"/>
      <c r="I69" s="271"/>
      <c r="J69" s="271"/>
      <c r="K69" s="271"/>
      <c r="L69" s="271"/>
      <c r="M69" s="271"/>
      <c r="N69" s="271"/>
      <c r="O69" s="57"/>
    </row>
    <row r="70" spans="1:15" ht="21" customHeight="1">
      <c r="A70" s="235"/>
      <c r="B70" s="238"/>
      <c r="C70" s="238"/>
      <c r="D70" s="263"/>
      <c r="E70" s="263"/>
      <c r="F70" s="274"/>
      <c r="G70" s="257">
        <v>300000</v>
      </c>
      <c r="H70" s="258"/>
      <c r="I70" s="258"/>
      <c r="J70" s="258"/>
      <c r="K70" s="258"/>
      <c r="L70" s="258"/>
      <c r="M70" s="258"/>
      <c r="N70" s="52" t="s">
        <v>67</v>
      </c>
      <c r="O70" s="53">
        <f>G70*4</f>
        <v>1200000</v>
      </c>
    </row>
    <row r="71" spans="1:15" ht="21" customHeight="1">
      <c r="A71" s="235"/>
      <c r="B71" s="238"/>
      <c r="C71" s="238"/>
      <c r="D71" s="263"/>
      <c r="E71" s="263"/>
      <c r="F71" s="274"/>
      <c r="G71" s="270" t="s">
        <v>68</v>
      </c>
      <c r="H71" s="271"/>
      <c r="I71" s="271"/>
      <c r="J71" s="271"/>
      <c r="K71" s="271"/>
      <c r="L71" s="271"/>
      <c r="M71" s="271"/>
      <c r="N71" s="271"/>
      <c r="O71" s="57"/>
    </row>
    <row r="72" spans="1:15" ht="21" customHeight="1">
      <c r="A72" s="235"/>
      <c r="B72" s="238"/>
      <c r="C72" s="238"/>
      <c r="D72" s="263"/>
      <c r="E72" s="263"/>
      <c r="F72" s="274"/>
      <c r="G72" s="257">
        <v>100000</v>
      </c>
      <c r="H72" s="258"/>
      <c r="I72" s="258"/>
      <c r="J72" s="258"/>
      <c r="K72" s="258"/>
      <c r="L72" s="258"/>
      <c r="M72" s="258"/>
      <c r="N72" s="52" t="s">
        <v>67</v>
      </c>
      <c r="O72" s="53">
        <f>G72*4</f>
        <v>400000</v>
      </c>
    </row>
    <row r="73" spans="1:15" ht="21" customHeight="1">
      <c r="A73" s="235"/>
      <c r="B73" s="238"/>
      <c r="C73" s="239"/>
      <c r="D73" s="264"/>
      <c r="E73" s="264"/>
      <c r="F73" s="275"/>
      <c r="G73" s="268"/>
      <c r="H73" s="269"/>
      <c r="I73" s="269"/>
      <c r="J73" s="269"/>
      <c r="K73" s="269"/>
      <c r="L73" s="269"/>
      <c r="M73" s="269"/>
      <c r="N73" s="63"/>
      <c r="O73" s="62">
        <f>SUM(O68:O72)</f>
        <v>8800000</v>
      </c>
    </row>
    <row r="74" spans="1:15" ht="21" customHeight="1">
      <c r="A74" s="235"/>
      <c r="B74" s="238"/>
      <c r="C74" s="277" t="s">
        <v>104</v>
      </c>
      <c r="D74" s="272">
        <v>1800000</v>
      </c>
      <c r="E74" s="272">
        <f>O86</f>
        <v>6680000</v>
      </c>
      <c r="F74" s="273">
        <f>E74-D74</f>
        <v>4880000</v>
      </c>
      <c r="G74" s="265" t="s">
        <v>69</v>
      </c>
      <c r="H74" s="266"/>
      <c r="I74" s="266"/>
      <c r="J74" s="266"/>
      <c r="K74" s="266"/>
      <c r="L74" s="266"/>
      <c r="M74" s="266"/>
      <c r="N74" s="266"/>
      <c r="O74" s="64"/>
    </row>
    <row r="75" spans="1:15" ht="21" customHeight="1">
      <c r="A75" s="235"/>
      <c r="B75" s="238"/>
      <c r="C75" s="238"/>
      <c r="D75" s="253"/>
      <c r="E75" s="253"/>
      <c r="F75" s="250"/>
      <c r="G75" s="240" t="s">
        <v>87</v>
      </c>
      <c r="H75" s="241"/>
      <c r="I75" s="258">
        <v>50000</v>
      </c>
      <c r="J75" s="258"/>
      <c r="K75" s="258"/>
      <c r="L75" s="258"/>
      <c r="M75" s="258"/>
      <c r="N75" s="52" t="s">
        <v>11</v>
      </c>
      <c r="O75" s="53">
        <f>4*50000*12</f>
        <v>2400000</v>
      </c>
    </row>
    <row r="76" spans="1:15" ht="21" customHeight="1">
      <c r="A76" s="235"/>
      <c r="B76" s="238"/>
      <c r="C76" s="238"/>
      <c r="D76" s="253"/>
      <c r="E76" s="253"/>
      <c r="F76" s="250"/>
      <c r="G76" s="304" t="s">
        <v>105</v>
      </c>
      <c r="H76" s="305"/>
      <c r="I76" s="305"/>
      <c r="J76" s="305"/>
      <c r="K76" s="305"/>
      <c r="L76" s="305"/>
      <c r="M76" s="305"/>
      <c r="N76" s="52"/>
      <c r="O76" s="53"/>
    </row>
    <row r="77" spans="1:15" ht="21" customHeight="1">
      <c r="A77" s="235"/>
      <c r="B77" s="238"/>
      <c r="C77" s="238"/>
      <c r="D77" s="253"/>
      <c r="E77" s="253"/>
      <c r="F77" s="250"/>
      <c r="G77" s="306">
        <v>50000</v>
      </c>
      <c r="H77" s="307"/>
      <c r="I77" s="307"/>
      <c r="J77" s="307"/>
      <c r="K77" s="307"/>
      <c r="L77" s="307"/>
      <c r="M77" s="307"/>
      <c r="N77" s="120" t="s">
        <v>87</v>
      </c>
      <c r="O77" s="53">
        <f>G77*4</f>
        <v>200000</v>
      </c>
    </row>
    <row r="78" spans="1:15" ht="21" customHeight="1">
      <c r="A78" s="235"/>
      <c r="B78" s="238"/>
      <c r="C78" s="238"/>
      <c r="D78" s="253"/>
      <c r="E78" s="253"/>
      <c r="F78" s="250"/>
      <c r="G78" s="304" t="s">
        <v>106</v>
      </c>
      <c r="H78" s="305"/>
      <c r="I78" s="305"/>
      <c r="J78" s="305"/>
      <c r="K78" s="305"/>
      <c r="L78" s="305"/>
      <c r="M78" s="305"/>
      <c r="N78" s="52"/>
      <c r="O78" s="53"/>
    </row>
    <row r="79" spans="1:15" ht="21" customHeight="1">
      <c r="A79" s="235"/>
      <c r="B79" s="238"/>
      <c r="C79" s="238"/>
      <c r="D79" s="253"/>
      <c r="E79" s="253"/>
      <c r="F79" s="250"/>
      <c r="G79" s="257">
        <v>60000</v>
      </c>
      <c r="H79" s="258"/>
      <c r="I79" s="258"/>
      <c r="J79" s="258"/>
      <c r="K79" s="258"/>
      <c r="L79" s="241" t="s">
        <v>112</v>
      </c>
      <c r="M79" s="241"/>
      <c r="N79" s="120" t="s">
        <v>87</v>
      </c>
      <c r="O79" s="53">
        <f>G79*2*4</f>
        <v>480000</v>
      </c>
    </row>
    <row r="80" spans="1:15" ht="21" customHeight="1">
      <c r="A80" s="235"/>
      <c r="B80" s="238"/>
      <c r="C80" s="238"/>
      <c r="D80" s="253"/>
      <c r="E80" s="253"/>
      <c r="F80" s="250"/>
      <c r="G80" s="270" t="s">
        <v>46</v>
      </c>
      <c r="H80" s="271"/>
      <c r="I80" s="271"/>
      <c r="J80" s="271"/>
      <c r="K80" s="271"/>
      <c r="L80" s="271"/>
      <c r="M80" s="271"/>
      <c r="N80" s="271"/>
      <c r="O80" s="74"/>
    </row>
    <row r="81" spans="1:15" ht="21" customHeight="1">
      <c r="A81" s="235"/>
      <c r="B81" s="238"/>
      <c r="C81" s="238"/>
      <c r="D81" s="253"/>
      <c r="E81" s="253"/>
      <c r="F81" s="250"/>
      <c r="G81" s="257">
        <v>100000</v>
      </c>
      <c r="H81" s="258"/>
      <c r="I81" s="258"/>
      <c r="J81" s="258"/>
      <c r="K81" s="258"/>
      <c r="L81" s="258"/>
      <c r="M81" s="258"/>
      <c r="N81" s="120" t="s">
        <v>87</v>
      </c>
      <c r="O81" s="53">
        <f>G81*4</f>
        <v>400000</v>
      </c>
    </row>
    <row r="82" spans="1:15" ht="21" customHeight="1">
      <c r="A82" s="235"/>
      <c r="B82" s="238"/>
      <c r="C82" s="238"/>
      <c r="D82" s="253"/>
      <c r="E82" s="253"/>
      <c r="F82" s="250"/>
      <c r="G82" s="270" t="s">
        <v>47</v>
      </c>
      <c r="H82" s="271"/>
      <c r="I82" s="271"/>
      <c r="J82" s="271"/>
      <c r="K82" s="271"/>
      <c r="L82" s="271"/>
      <c r="M82" s="271"/>
      <c r="N82" s="271"/>
      <c r="O82" s="74"/>
    </row>
    <row r="83" spans="1:15" ht="21" customHeight="1">
      <c r="A83" s="235"/>
      <c r="B83" s="238"/>
      <c r="C83" s="238"/>
      <c r="D83" s="253"/>
      <c r="E83" s="253"/>
      <c r="F83" s="250"/>
      <c r="G83" s="257">
        <v>1000000</v>
      </c>
      <c r="H83" s="258"/>
      <c r="I83" s="258"/>
      <c r="J83" s="258"/>
      <c r="K83" s="258"/>
      <c r="L83" s="258"/>
      <c r="M83" s="258"/>
      <c r="N83" s="52" t="s">
        <v>48</v>
      </c>
      <c r="O83" s="53">
        <f>G83*2</f>
        <v>2000000</v>
      </c>
    </row>
    <row r="84" spans="1:15" ht="21" customHeight="1">
      <c r="A84" s="235"/>
      <c r="B84" s="238"/>
      <c r="C84" s="238"/>
      <c r="D84" s="253"/>
      <c r="E84" s="253"/>
      <c r="F84" s="250"/>
      <c r="G84" s="270" t="s">
        <v>70</v>
      </c>
      <c r="H84" s="271"/>
      <c r="I84" s="271"/>
      <c r="J84" s="271"/>
      <c r="K84" s="271"/>
      <c r="L84" s="271"/>
      <c r="M84" s="271"/>
      <c r="N84" s="271"/>
      <c r="O84" s="56"/>
    </row>
    <row r="85" spans="1:15" ht="21" customHeight="1">
      <c r="A85" s="235"/>
      <c r="B85" s="238"/>
      <c r="C85" s="238"/>
      <c r="D85" s="253"/>
      <c r="E85" s="253"/>
      <c r="F85" s="250"/>
      <c r="G85" s="257">
        <v>100000</v>
      </c>
      <c r="H85" s="258"/>
      <c r="I85" s="258"/>
      <c r="J85" s="258"/>
      <c r="K85" s="258"/>
      <c r="L85" s="258"/>
      <c r="M85" s="258"/>
      <c r="N85" s="52" t="s">
        <v>11</v>
      </c>
      <c r="O85" s="53">
        <f>G85*12</f>
        <v>1200000</v>
      </c>
    </row>
    <row r="86" spans="1:15" ht="21" customHeight="1">
      <c r="A86" s="236"/>
      <c r="B86" s="239"/>
      <c r="C86" s="239"/>
      <c r="D86" s="253"/>
      <c r="E86" s="253"/>
      <c r="F86" s="250"/>
      <c r="G86" s="270"/>
      <c r="H86" s="271"/>
      <c r="I86" s="271"/>
      <c r="J86" s="271"/>
      <c r="K86" s="271"/>
      <c r="L86" s="271"/>
      <c r="M86" s="271"/>
      <c r="N86" s="271"/>
      <c r="O86" s="62">
        <f>SUM(O75:O85)</f>
        <v>6680000</v>
      </c>
    </row>
    <row r="87" spans="1:15" s="67" customFormat="1" ht="21" customHeight="1" thickBot="1">
      <c r="A87" s="244"/>
      <c r="B87" s="245"/>
      <c r="C87" s="65" t="s">
        <v>9</v>
      </c>
      <c r="D87" s="66">
        <f>SUM(D7:D86)</f>
        <v>53426755</v>
      </c>
      <c r="E87" s="66">
        <f t="shared" ref="E87:F87" si="1">SUM(E7:E86)</f>
        <v>162440602</v>
      </c>
      <c r="F87" s="66">
        <f t="shared" si="1"/>
        <v>109013847</v>
      </c>
      <c r="G87" s="246"/>
      <c r="H87" s="247"/>
      <c r="I87" s="247"/>
      <c r="J87" s="247"/>
      <c r="K87" s="247"/>
      <c r="L87" s="247"/>
      <c r="M87" s="247"/>
      <c r="N87" s="247"/>
      <c r="O87" s="248"/>
    </row>
    <row r="88" spans="1:15" ht="21" customHeight="1" thickTop="1">
      <c r="A88" s="297" t="s">
        <v>107</v>
      </c>
      <c r="B88" s="298" t="s">
        <v>108</v>
      </c>
      <c r="C88" s="299" t="s">
        <v>109</v>
      </c>
      <c r="D88" s="253"/>
      <c r="E88" s="253">
        <f>O90</f>
        <v>0</v>
      </c>
      <c r="F88" s="250">
        <f>E88-D88</f>
        <v>0</v>
      </c>
      <c r="G88" s="270" t="s">
        <v>71</v>
      </c>
      <c r="H88" s="271"/>
      <c r="I88" s="271"/>
      <c r="J88" s="271"/>
      <c r="K88" s="271"/>
      <c r="L88" s="271"/>
      <c r="M88" s="271"/>
      <c r="N88" s="271"/>
      <c r="O88" s="57"/>
    </row>
    <row r="89" spans="1:15" ht="21" customHeight="1">
      <c r="A89" s="235"/>
      <c r="B89" s="238"/>
      <c r="C89" s="300"/>
      <c r="D89" s="253"/>
      <c r="E89" s="253"/>
      <c r="F89" s="274"/>
      <c r="G89" s="257"/>
      <c r="H89" s="258"/>
      <c r="I89" s="258"/>
      <c r="J89" s="258"/>
      <c r="K89" s="258"/>
      <c r="L89" s="258"/>
      <c r="M89" s="258"/>
      <c r="N89" s="52"/>
      <c r="O89" s="53">
        <f>G89*4</f>
        <v>0</v>
      </c>
    </row>
    <row r="90" spans="1:15" ht="21" customHeight="1">
      <c r="A90" s="235"/>
      <c r="B90" s="238"/>
      <c r="C90" s="301"/>
      <c r="D90" s="254"/>
      <c r="E90" s="254"/>
      <c r="F90" s="275"/>
      <c r="G90" s="242"/>
      <c r="H90" s="243"/>
      <c r="I90" s="243"/>
      <c r="J90" s="243"/>
      <c r="K90" s="243"/>
      <c r="L90" s="243"/>
      <c r="M90" s="243"/>
      <c r="N90" s="61"/>
      <c r="O90" s="55">
        <f>O89</f>
        <v>0</v>
      </c>
    </row>
    <row r="91" spans="1:15" ht="21" customHeight="1">
      <c r="A91" s="235"/>
      <c r="B91" s="238"/>
      <c r="C91" s="277" t="s">
        <v>110</v>
      </c>
      <c r="D91" s="272">
        <v>7000000</v>
      </c>
      <c r="E91" s="272">
        <f>O93</f>
        <v>4000000</v>
      </c>
      <c r="F91" s="273">
        <f>E91-D91</f>
        <v>-3000000</v>
      </c>
      <c r="G91" s="265" t="s">
        <v>72</v>
      </c>
      <c r="H91" s="266"/>
      <c r="I91" s="266"/>
      <c r="J91" s="266"/>
      <c r="K91" s="266"/>
      <c r="L91" s="266"/>
      <c r="M91" s="266"/>
      <c r="N91" s="266"/>
      <c r="O91" s="64"/>
    </row>
    <row r="92" spans="1:15" ht="21" customHeight="1">
      <c r="A92" s="235"/>
      <c r="B92" s="238"/>
      <c r="C92" s="238"/>
      <c r="D92" s="253"/>
      <c r="E92" s="253"/>
      <c r="F92" s="250"/>
      <c r="G92" s="257">
        <v>1000000</v>
      </c>
      <c r="H92" s="258"/>
      <c r="I92" s="258"/>
      <c r="J92" s="258"/>
      <c r="K92" s="258"/>
      <c r="L92" s="258"/>
      <c r="M92" s="258"/>
      <c r="N92" s="52" t="s">
        <v>67</v>
      </c>
      <c r="O92" s="53">
        <f>G92*4</f>
        <v>4000000</v>
      </c>
    </row>
    <row r="93" spans="1:15" ht="21" customHeight="1">
      <c r="A93" s="235"/>
      <c r="B93" s="238"/>
      <c r="C93" s="239"/>
      <c r="D93" s="254"/>
      <c r="E93" s="254"/>
      <c r="F93" s="251"/>
      <c r="G93" s="268"/>
      <c r="H93" s="269"/>
      <c r="I93" s="269"/>
      <c r="J93" s="269"/>
      <c r="K93" s="269"/>
      <c r="L93" s="269"/>
      <c r="M93" s="269"/>
      <c r="N93" s="68"/>
      <c r="O93" s="55">
        <f>O92</f>
        <v>4000000</v>
      </c>
    </row>
    <row r="94" spans="1:15" ht="21" customHeight="1">
      <c r="A94" s="235"/>
      <c r="B94" s="238"/>
      <c r="C94" s="277" t="s">
        <v>111</v>
      </c>
      <c r="D94" s="272"/>
      <c r="E94" s="272">
        <f>O96</f>
        <v>0</v>
      </c>
      <c r="F94" s="273">
        <f>E94-D94</f>
        <v>0</v>
      </c>
      <c r="G94" s="265" t="s">
        <v>73</v>
      </c>
      <c r="H94" s="266"/>
      <c r="I94" s="266"/>
      <c r="J94" s="266"/>
      <c r="K94" s="266"/>
      <c r="L94" s="266"/>
      <c r="M94" s="266"/>
      <c r="N94" s="266"/>
      <c r="O94" s="64"/>
    </row>
    <row r="95" spans="1:15" ht="21" customHeight="1">
      <c r="A95" s="235"/>
      <c r="B95" s="238"/>
      <c r="C95" s="238"/>
      <c r="D95" s="253"/>
      <c r="E95" s="253"/>
      <c r="F95" s="250"/>
      <c r="G95" s="257"/>
      <c r="H95" s="258"/>
      <c r="I95" s="258"/>
      <c r="J95" s="258"/>
      <c r="K95" s="258"/>
      <c r="L95" s="258"/>
      <c r="M95" s="258"/>
      <c r="N95" s="52"/>
      <c r="O95" s="53">
        <f>G95*4</f>
        <v>0</v>
      </c>
    </row>
    <row r="96" spans="1:15" ht="21" customHeight="1">
      <c r="A96" s="236"/>
      <c r="B96" s="239"/>
      <c r="C96" s="239"/>
      <c r="D96" s="254"/>
      <c r="E96" s="254"/>
      <c r="F96" s="251"/>
      <c r="G96" s="268"/>
      <c r="H96" s="269"/>
      <c r="I96" s="269"/>
      <c r="J96" s="269"/>
      <c r="K96" s="269"/>
      <c r="L96" s="269"/>
      <c r="M96" s="269"/>
      <c r="N96" s="63"/>
      <c r="O96" s="62">
        <f>O95</f>
        <v>0</v>
      </c>
    </row>
    <row r="97" spans="1:15" s="67" customFormat="1" ht="21" customHeight="1" thickBot="1">
      <c r="A97" s="244"/>
      <c r="B97" s="245"/>
      <c r="C97" s="65" t="s">
        <v>9</v>
      </c>
      <c r="D97" s="66">
        <f>SUM(D88:D96)</f>
        <v>7000000</v>
      </c>
      <c r="E97" s="66">
        <f>SUM(E88:E96)</f>
        <v>4000000</v>
      </c>
      <c r="F97" s="66">
        <f>SUM(F88:F96)</f>
        <v>-3000000</v>
      </c>
      <c r="G97" s="246"/>
      <c r="H97" s="247"/>
      <c r="I97" s="247"/>
      <c r="J97" s="247"/>
      <c r="K97" s="247"/>
      <c r="L97" s="247"/>
      <c r="M97" s="247"/>
      <c r="N97" s="247"/>
      <c r="O97" s="248"/>
    </row>
    <row r="98" spans="1:15" ht="23.1" customHeight="1" thickTop="1">
      <c r="A98" s="235"/>
      <c r="B98" s="238"/>
      <c r="C98" s="238" t="s">
        <v>161</v>
      </c>
      <c r="D98" s="253">
        <v>2820000</v>
      </c>
      <c r="E98" s="253">
        <f>O100</f>
        <v>21900000</v>
      </c>
      <c r="F98" s="250">
        <f>E98-D98</f>
        <v>19080000</v>
      </c>
      <c r="G98" s="270" t="s">
        <v>74</v>
      </c>
      <c r="H98" s="271"/>
      <c r="I98" s="271"/>
      <c r="J98" s="271"/>
      <c r="K98" s="271"/>
      <c r="L98" s="271"/>
      <c r="M98" s="271"/>
      <c r="N98" s="271"/>
      <c r="O98" s="57"/>
    </row>
    <row r="99" spans="1:15" ht="23.1" customHeight="1">
      <c r="A99" s="235"/>
      <c r="B99" s="238"/>
      <c r="C99" s="238"/>
      <c r="D99" s="253"/>
      <c r="E99" s="253"/>
      <c r="F99" s="250"/>
      <c r="G99" s="257">
        <v>7500</v>
      </c>
      <c r="H99" s="258"/>
      <c r="I99" s="258"/>
      <c r="J99" s="258"/>
      <c r="K99" s="258"/>
      <c r="L99" s="258"/>
      <c r="M99" s="52">
        <v>365</v>
      </c>
      <c r="N99" s="120" t="s">
        <v>147</v>
      </c>
      <c r="O99" s="53">
        <f>G99*365*8</f>
        <v>21900000</v>
      </c>
    </row>
    <row r="100" spans="1:15" ht="23.1" customHeight="1">
      <c r="A100" s="235"/>
      <c r="B100" s="238"/>
      <c r="C100" s="239"/>
      <c r="D100" s="254"/>
      <c r="E100" s="254"/>
      <c r="F100" s="251"/>
      <c r="G100" s="242"/>
      <c r="H100" s="243"/>
      <c r="I100" s="243"/>
      <c r="J100" s="243"/>
      <c r="K100" s="243"/>
      <c r="L100" s="243"/>
      <c r="M100" s="243"/>
      <c r="N100" s="61"/>
      <c r="O100" s="55">
        <f>O99</f>
        <v>21900000</v>
      </c>
    </row>
    <row r="101" spans="1:15" ht="23.1" customHeight="1">
      <c r="A101" s="235"/>
      <c r="B101" s="238"/>
      <c r="C101" s="277" t="s">
        <v>113</v>
      </c>
      <c r="D101" s="272">
        <v>1300000</v>
      </c>
      <c r="E101" s="272">
        <f>O107</f>
        <v>7200000</v>
      </c>
      <c r="F101" s="273">
        <f>E101-D101</f>
        <v>5900000</v>
      </c>
      <c r="G101" s="265" t="s">
        <v>75</v>
      </c>
      <c r="H101" s="266"/>
      <c r="I101" s="266"/>
      <c r="J101" s="266"/>
      <c r="K101" s="266"/>
      <c r="L101" s="266"/>
      <c r="M101" s="266"/>
      <c r="N101" s="266"/>
      <c r="O101" s="59"/>
    </row>
    <row r="102" spans="1:15" ht="23.1" customHeight="1">
      <c r="A102" s="235"/>
      <c r="B102" s="238"/>
      <c r="C102" s="238"/>
      <c r="D102" s="253"/>
      <c r="E102" s="253"/>
      <c r="F102" s="250"/>
      <c r="G102" s="257">
        <v>200000</v>
      </c>
      <c r="H102" s="258"/>
      <c r="I102" s="258"/>
      <c r="J102" s="258"/>
      <c r="K102" s="258"/>
      <c r="L102" s="258"/>
      <c r="M102" s="258"/>
      <c r="N102" s="52" t="s">
        <v>67</v>
      </c>
      <c r="O102" s="53">
        <f>G102*4</f>
        <v>800000</v>
      </c>
    </row>
    <row r="103" spans="1:15" ht="23.1" customHeight="1">
      <c r="A103" s="235"/>
      <c r="B103" s="238"/>
      <c r="C103" s="238"/>
      <c r="D103" s="253"/>
      <c r="E103" s="253"/>
      <c r="F103" s="250"/>
      <c r="G103" s="270" t="s">
        <v>76</v>
      </c>
      <c r="H103" s="271"/>
      <c r="I103" s="271"/>
      <c r="J103" s="271"/>
      <c r="K103" s="271"/>
      <c r="L103" s="271"/>
      <c r="M103" s="271"/>
      <c r="N103" s="271"/>
      <c r="O103" s="57"/>
    </row>
    <row r="104" spans="1:15" ht="23.1" customHeight="1">
      <c r="A104" s="235"/>
      <c r="B104" s="238"/>
      <c r="C104" s="238"/>
      <c r="D104" s="253"/>
      <c r="E104" s="253"/>
      <c r="F104" s="250"/>
      <c r="G104" s="257">
        <v>500000</v>
      </c>
      <c r="H104" s="258"/>
      <c r="I104" s="258"/>
      <c r="J104" s="258"/>
      <c r="K104" s="258"/>
      <c r="L104" s="258"/>
      <c r="M104" s="258"/>
      <c r="N104" s="52" t="s">
        <v>114</v>
      </c>
      <c r="O104" s="53">
        <f>G104*12</f>
        <v>6000000</v>
      </c>
    </row>
    <row r="105" spans="1:15" ht="23.1" customHeight="1">
      <c r="A105" s="235"/>
      <c r="B105" s="238"/>
      <c r="C105" s="238"/>
      <c r="D105" s="253"/>
      <c r="E105" s="253"/>
      <c r="F105" s="250"/>
      <c r="G105" s="270" t="s">
        <v>77</v>
      </c>
      <c r="H105" s="271"/>
      <c r="I105" s="271"/>
      <c r="J105" s="271"/>
      <c r="K105" s="271"/>
      <c r="L105" s="271"/>
      <c r="M105" s="271"/>
      <c r="N105" s="271"/>
      <c r="O105" s="56"/>
    </row>
    <row r="106" spans="1:15" ht="23.1" customHeight="1">
      <c r="A106" s="235"/>
      <c r="B106" s="238"/>
      <c r="C106" s="238"/>
      <c r="D106" s="253"/>
      <c r="E106" s="253"/>
      <c r="F106" s="250"/>
      <c r="G106" s="257">
        <v>100000</v>
      </c>
      <c r="H106" s="258"/>
      <c r="I106" s="258"/>
      <c r="J106" s="258"/>
      <c r="K106" s="258"/>
      <c r="L106" s="258"/>
      <c r="M106" s="258"/>
      <c r="N106" s="52" t="s">
        <v>67</v>
      </c>
      <c r="O106" s="53">
        <f>G106*4</f>
        <v>400000</v>
      </c>
    </row>
    <row r="107" spans="1:15" ht="23.1" customHeight="1">
      <c r="A107" s="235"/>
      <c r="B107" s="238"/>
      <c r="C107" s="239"/>
      <c r="D107" s="254"/>
      <c r="E107" s="254"/>
      <c r="F107" s="251"/>
      <c r="G107" s="242"/>
      <c r="H107" s="243"/>
      <c r="I107" s="243"/>
      <c r="J107" s="243"/>
      <c r="K107" s="243"/>
      <c r="L107" s="243"/>
      <c r="M107" s="243"/>
      <c r="N107" s="61"/>
      <c r="O107" s="55">
        <f>O102+O104+O106</f>
        <v>7200000</v>
      </c>
    </row>
    <row r="108" spans="1:15" ht="23.1" customHeight="1">
      <c r="A108" s="235"/>
      <c r="B108" s="238"/>
      <c r="C108" s="277" t="s">
        <v>115</v>
      </c>
      <c r="D108" s="272">
        <v>900000</v>
      </c>
      <c r="E108" s="272">
        <f>O110</f>
        <v>2000000</v>
      </c>
      <c r="F108" s="273">
        <f>E108-D108</f>
        <v>1100000</v>
      </c>
      <c r="G108" s="265" t="s">
        <v>78</v>
      </c>
      <c r="H108" s="266"/>
      <c r="I108" s="266"/>
      <c r="J108" s="266"/>
      <c r="K108" s="266"/>
      <c r="L108" s="266"/>
      <c r="M108" s="266"/>
      <c r="N108" s="266"/>
      <c r="O108" s="59"/>
    </row>
    <row r="109" spans="1:15" ht="23.1" customHeight="1">
      <c r="A109" s="235"/>
      <c r="B109" s="238"/>
      <c r="C109" s="238"/>
      <c r="D109" s="253"/>
      <c r="E109" s="253"/>
      <c r="F109" s="274"/>
      <c r="G109" s="257">
        <v>500000</v>
      </c>
      <c r="H109" s="258"/>
      <c r="I109" s="258"/>
      <c r="J109" s="258"/>
      <c r="K109" s="258"/>
      <c r="L109" s="258"/>
      <c r="M109" s="258"/>
      <c r="N109" s="52" t="s">
        <v>51</v>
      </c>
      <c r="O109" s="53">
        <f>G109*4</f>
        <v>2000000</v>
      </c>
    </row>
    <row r="110" spans="1:15" ht="23.1" customHeight="1">
      <c r="A110" s="235"/>
      <c r="B110" s="238"/>
      <c r="C110" s="239"/>
      <c r="D110" s="254"/>
      <c r="E110" s="254"/>
      <c r="F110" s="275"/>
      <c r="G110" s="242"/>
      <c r="H110" s="243"/>
      <c r="I110" s="243"/>
      <c r="J110" s="243"/>
      <c r="K110" s="243"/>
      <c r="L110" s="243"/>
      <c r="M110" s="243"/>
      <c r="N110" s="61"/>
      <c r="O110" s="55">
        <f>O109</f>
        <v>2000000</v>
      </c>
    </row>
    <row r="111" spans="1:15" ht="23.1" customHeight="1">
      <c r="A111" s="235"/>
      <c r="B111" s="238"/>
      <c r="C111" s="277" t="s">
        <v>116</v>
      </c>
      <c r="D111" s="259">
        <v>900000</v>
      </c>
      <c r="E111" s="259">
        <f>O113</f>
        <v>2400000</v>
      </c>
      <c r="F111" s="262">
        <f>E111-D111</f>
        <v>1500000</v>
      </c>
      <c r="G111" s="265" t="s">
        <v>117</v>
      </c>
      <c r="H111" s="266"/>
      <c r="I111" s="266"/>
      <c r="J111" s="266"/>
      <c r="K111" s="266"/>
      <c r="L111" s="266"/>
      <c r="M111" s="266"/>
      <c r="N111" s="266"/>
      <c r="O111" s="267"/>
    </row>
    <row r="112" spans="1:15" ht="23.1" customHeight="1">
      <c r="A112" s="235"/>
      <c r="B112" s="238"/>
      <c r="C112" s="238"/>
      <c r="D112" s="260"/>
      <c r="E112" s="260"/>
      <c r="F112" s="263"/>
      <c r="G112" s="257">
        <v>200000</v>
      </c>
      <c r="H112" s="258"/>
      <c r="I112" s="258"/>
      <c r="J112" s="258"/>
      <c r="K112" s="258"/>
      <c r="L112" s="258"/>
      <c r="M112" s="258"/>
      <c r="N112" s="70" t="s">
        <v>79</v>
      </c>
      <c r="O112" s="71">
        <f>G112*12</f>
        <v>2400000</v>
      </c>
    </row>
    <row r="113" spans="1:15" ht="23.1" customHeight="1">
      <c r="A113" s="235"/>
      <c r="B113" s="238"/>
      <c r="C113" s="239"/>
      <c r="D113" s="261"/>
      <c r="E113" s="261"/>
      <c r="F113" s="264"/>
      <c r="G113" s="268"/>
      <c r="H113" s="269"/>
      <c r="I113" s="269"/>
      <c r="J113" s="269"/>
      <c r="K113" s="269"/>
      <c r="L113" s="269"/>
      <c r="M113" s="269"/>
      <c r="N113" s="68"/>
      <c r="O113" s="72">
        <f>O112</f>
        <v>2400000</v>
      </c>
    </row>
    <row r="114" spans="1:15" ht="23.1" customHeight="1">
      <c r="A114" s="235"/>
      <c r="B114" s="277" t="s">
        <v>118</v>
      </c>
      <c r="C114" s="277" t="s">
        <v>119</v>
      </c>
      <c r="D114" s="272">
        <v>300000</v>
      </c>
      <c r="E114" s="272">
        <f>O116</f>
        <v>2400000</v>
      </c>
      <c r="F114" s="273">
        <f>E114-D114</f>
        <v>2100000</v>
      </c>
      <c r="G114" s="265" t="s">
        <v>80</v>
      </c>
      <c r="H114" s="266"/>
      <c r="I114" s="266"/>
      <c r="J114" s="266"/>
      <c r="K114" s="266"/>
      <c r="L114" s="266"/>
      <c r="M114" s="266"/>
      <c r="N114" s="266"/>
      <c r="O114" s="59"/>
    </row>
    <row r="115" spans="1:15" ht="23.1" customHeight="1">
      <c r="A115" s="235"/>
      <c r="B115" s="238"/>
      <c r="C115" s="238"/>
      <c r="D115" s="253"/>
      <c r="E115" s="253"/>
      <c r="F115" s="250"/>
      <c r="G115" s="257">
        <v>200000</v>
      </c>
      <c r="H115" s="258"/>
      <c r="I115" s="258"/>
      <c r="J115" s="258"/>
      <c r="K115" s="258"/>
      <c r="L115" s="258"/>
      <c r="M115" s="258"/>
      <c r="N115" s="52" t="s">
        <v>79</v>
      </c>
      <c r="O115" s="53">
        <f>G115*12</f>
        <v>2400000</v>
      </c>
    </row>
    <row r="116" spans="1:15" ht="23.1" customHeight="1">
      <c r="A116" s="236"/>
      <c r="B116" s="239"/>
      <c r="C116" s="239"/>
      <c r="D116" s="254"/>
      <c r="E116" s="254"/>
      <c r="F116" s="251"/>
      <c r="G116" s="242"/>
      <c r="H116" s="243"/>
      <c r="I116" s="243"/>
      <c r="J116" s="243"/>
      <c r="K116" s="243"/>
      <c r="L116" s="243"/>
      <c r="M116" s="243"/>
      <c r="N116" s="61"/>
      <c r="O116" s="55">
        <f>O115</f>
        <v>2400000</v>
      </c>
    </row>
    <row r="117" spans="1:15" s="67" customFormat="1" ht="23.1" customHeight="1" thickBot="1">
      <c r="A117" s="244"/>
      <c r="B117" s="245"/>
      <c r="C117" s="65" t="s">
        <v>9</v>
      </c>
      <c r="D117" s="66">
        <f>SUM(D98:D116)</f>
        <v>6220000</v>
      </c>
      <c r="E117" s="66">
        <f>SUM(E98:E116)</f>
        <v>35900000</v>
      </c>
      <c r="F117" s="66">
        <f>SUM(F98:F116)</f>
        <v>29680000</v>
      </c>
      <c r="G117" s="246"/>
      <c r="H117" s="247"/>
      <c r="I117" s="247"/>
      <c r="J117" s="247"/>
      <c r="K117" s="247"/>
      <c r="L117" s="247"/>
      <c r="M117" s="247"/>
      <c r="N117" s="247"/>
      <c r="O117" s="248"/>
    </row>
    <row r="118" spans="1:15" ht="23.1" customHeight="1" thickTop="1">
      <c r="A118" s="297" t="s">
        <v>120</v>
      </c>
      <c r="B118" s="298" t="s">
        <v>121</v>
      </c>
      <c r="C118" s="298" t="s">
        <v>122</v>
      </c>
      <c r="D118" s="249">
        <v>461097</v>
      </c>
      <c r="E118" s="252">
        <f>O122</f>
        <v>5785798</v>
      </c>
      <c r="F118" s="249">
        <f>E118-D118</f>
        <v>5324701</v>
      </c>
      <c r="G118" s="255" t="s">
        <v>123</v>
      </c>
      <c r="H118" s="256"/>
      <c r="I118" s="256"/>
      <c r="J118" s="256"/>
      <c r="K118" s="256"/>
      <c r="L118" s="256"/>
      <c r="M118" s="256"/>
      <c r="N118" s="256"/>
      <c r="O118" s="69"/>
    </row>
    <row r="119" spans="1:15" ht="23.1" customHeight="1">
      <c r="A119" s="235"/>
      <c r="B119" s="238"/>
      <c r="C119" s="238"/>
      <c r="D119" s="250"/>
      <c r="E119" s="253"/>
      <c r="F119" s="250"/>
      <c r="G119" s="257">
        <v>3000000</v>
      </c>
      <c r="H119" s="258"/>
      <c r="I119" s="258"/>
      <c r="J119" s="258"/>
      <c r="K119" s="258"/>
      <c r="L119" s="258"/>
      <c r="M119" s="258"/>
      <c r="N119" s="52" t="s">
        <v>62</v>
      </c>
      <c r="O119" s="53">
        <f>G119*1</f>
        <v>3000000</v>
      </c>
    </row>
    <row r="120" spans="1:15" ht="23.1" customHeight="1">
      <c r="A120" s="235"/>
      <c r="B120" s="238"/>
      <c r="C120" s="238"/>
      <c r="D120" s="250"/>
      <c r="E120" s="253"/>
      <c r="F120" s="250"/>
      <c r="G120" s="270" t="s">
        <v>81</v>
      </c>
      <c r="H120" s="271"/>
      <c r="I120" s="271"/>
      <c r="J120" s="271"/>
      <c r="K120" s="271"/>
      <c r="L120" s="271"/>
      <c r="M120" s="271"/>
      <c r="N120" s="271"/>
      <c r="O120" s="53"/>
    </row>
    <row r="121" spans="1:15" ht="23.1" customHeight="1">
      <c r="A121" s="235"/>
      <c r="B121" s="238"/>
      <c r="C121" s="238"/>
      <c r="D121" s="250"/>
      <c r="E121" s="253"/>
      <c r="F121" s="250"/>
      <c r="G121" s="240"/>
      <c r="H121" s="241"/>
      <c r="I121" s="241"/>
      <c r="J121" s="241"/>
      <c r="K121" s="241"/>
      <c r="L121" s="241"/>
      <c r="M121" s="241"/>
      <c r="N121" s="52"/>
      <c r="O121" s="75">
        <v>2785798</v>
      </c>
    </row>
    <row r="122" spans="1:15" ht="23.1" customHeight="1">
      <c r="A122" s="236"/>
      <c r="B122" s="239"/>
      <c r="C122" s="239"/>
      <c r="D122" s="251"/>
      <c r="E122" s="254"/>
      <c r="F122" s="251"/>
      <c r="G122" s="242"/>
      <c r="H122" s="243"/>
      <c r="I122" s="243"/>
      <c r="J122" s="243"/>
      <c r="K122" s="243"/>
      <c r="L122" s="243"/>
      <c r="M122" s="243"/>
      <c r="N122" s="61"/>
      <c r="O122" s="55">
        <f>O119+O121</f>
        <v>5785798</v>
      </c>
    </row>
    <row r="123" spans="1:15" s="67" customFormat="1" ht="23.1" customHeight="1" thickBot="1">
      <c r="A123" s="244"/>
      <c r="B123" s="245"/>
      <c r="C123" s="65" t="s">
        <v>9</v>
      </c>
      <c r="D123" s="66">
        <f>SUM(D118)</f>
        <v>461097</v>
      </c>
      <c r="E123" s="66">
        <f t="shared" ref="E123:F123" si="2">SUM(E118)</f>
        <v>5785798</v>
      </c>
      <c r="F123" s="66">
        <f t="shared" si="2"/>
        <v>5324701</v>
      </c>
      <c r="G123" s="246"/>
      <c r="H123" s="247"/>
      <c r="I123" s="247"/>
      <c r="J123" s="247"/>
      <c r="K123" s="247"/>
      <c r="L123" s="247"/>
      <c r="M123" s="247"/>
      <c r="N123" s="247"/>
      <c r="O123" s="248"/>
    </row>
    <row r="124" spans="1:15" ht="12.75" thickTop="1">
      <c r="A124" s="76"/>
    </row>
    <row r="125" spans="1:15">
      <c r="A125" s="76"/>
    </row>
  </sheetData>
  <mergeCells count="232">
    <mergeCell ref="C31:C33"/>
    <mergeCell ref="B7:B33"/>
    <mergeCell ref="D31:D33"/>
    <mergeCell ref="E31:E33"/>
    <mergeCell ref="F31:F33"/>
    <mergeCell ref="G31:M31"/>
    <mergeCell ref="G79:K79"/>
    <mergeCell ref="L79:M79"/>
    <mergeCell ref="C114:C116"/>
    <mergeCell ref="B114:B116"/>
    <mergeCell ref="C67:C73"/>
    <mergeCell ref="C74:C86"/>
    <mergeCell ref="G76:M76"/>
    <mergeCell ref="G77:M77"/>
    <mergeCell ref="G78:M78"/>
    <mergeCell ref="G81:M81"/>
    <mergeCell ref="G83:M83"/>
    <mergeCell ref="G80:N80"/>
    <mergeCell ref="G82:N82"/>
    <mergeCell ref="C34:C36"/>
    <mergeCell ref="C37:C39"/>
    <mergeCell ref="C40:C42"/>
    <mergeCell ref="B34:B39"/>
    <mergeCell ref="B40:B86"/>
    <mergeCell ref="A118:A122"/>
    <mergeCell ref="B118:B122"/>
    <mergeCell ref="C118:C122"/>
    <mergeCell ref="A88:A96"/>
    <mergeCell ref="B88:B96"/>
    <mergeCell ref="C88:C90"/>
    <mergeCell ref="C91:C93"/>
    <mergeCell ref="C94:C96"/>
    <mergeCell ref="A98:A116"/>
    <mergeCell ref="B98:B113"/>
    <mergeCell ref="C98:C100"/>
    <mergeCell ref="C101:C107"/>
    <mergeCell ref="C108:C110"/>
    <mergeCell ref="C111:C113"/>
    <mergeCell ref="A97:B97"/>
    <mergeCell ref="C43:C51"/>
    <mergeCell ref="C52:C66"/>
    <mergeCell ref="A1:O1"/>
    <mergeCell ref="A3:O3"/>
    <mergeCell ref="A4:C4"/>
    <mergeCell ref="D4:F4"/>
    <mergeCell ref="G4:O5"/>
    <mergeCell ref="A6:C6"/>
    <mergeCell ref="G6:O6"/>
    <mergeCell ref="C22:C30"/>
    <mergeCell ref="C19:C21"/>
    <mergeCell ref="G12:I12"/>
    <mergeCell ref="J12:M12"/>
    <mergeCell ref="G13:N13"/>
    <mergeCell ref="G14:I14"/>
    <mergeCell ref="J14:M14"/>
    <mergeCell ref="G15:N15"/>
    <mergeCell ref="D16:D18"/>
    <mergeCell ref="E16:E18"/>
    <mergeCell ref="F16:F18"/>
    <mergeCell ref="D7:D15"/>
    <mergeCell ref="E7:E15"/>
    <mergeCell ref="F7:F15"/>
    <mergeCell ref="G7:O7"/>
    <mergeCell ref="G8:I8"/>
    <mergeCell ref="J8:M8"/>
    <mergeCell ref="G9:N9"/>
    <mergeCell ref="G10:I10"/>
    <mergeCell ref="J10:M10"/>
    <mergeCell ref="G11:N11"/>
    <mergeCell ref="G18:N18"/>
    <mergeCell ref="D19:D21"/>
    <mergeCell ref="E19:E21"/>
    <mergeCell ref="F19:F21"/>
    <mergeCell ref="G19:N19"/>
    <mergeCell ref="G20:M20"/>
    <mergeCell ref="G21:M21"/>
    <mergeCell ref="D22:D30"/>
    <mergeCell ref="G16:N16"/>
    <mergeCell ref="G17:M17"/>
    <mergeCell ref="E22:E30"/>
    <mergeCell ref="F22:F30"/>
    <mergeCell ref="G22:N22"/>
    <mergeCell ref="G23:M23"/>
    <mergeCell ref="G24:N24"/>
    <mergeCell ref="G25:M25"/>
    <mergeCell ref="G26:N26"/>
    <mergeCell ref="G27:M27"/>
    <mergeCell ref="G28:N28"/>
    <mergeCell ref="G29:M29"/>
    <mergeCell ref="G30:N30"/>
    <mergeCell ref="D34:D36"/>
    <mergeCell ref="E34:E36"/>
    <mergeCell ref="F34:F36"/>
    <mergeCell ref="G34:N34"/>
    <mergeCell ref="G35:M35"/>
    <mergeCell ref="G36:M36"/>
    <mergeCell ref="D40:D42"/>
    <mergeCell ref="E40:E42"/>
    <mergeCell ref="F40:F42"/>
    <mergeCell ref="G40:N40"/>
    <mergeCell ref="G41:M41"/>
    <mergeCell ref="G42:M42"/>
    <mergeCell ref="D37:D39"/>
    <mergeCell ref="E37:E39"/>
    <mergeCell ref="F37:F39"/>
    <mergeCell ref="G37:N37"/>
    <mergeCell ref="G38:M38"/>
    <mergeCell ref="G39:M39"/>
    <mergeCell ref="D43:D51"/>
    <mergeCell ref="E43:E51"/>
    <mergeCell ref="F43:F51"/>
    <mergeCell ref="G43:N43"/>
    <mergeCell ref="G44:M44"/>
    <mergeCell ref="G45:N45"/>
    <mergeCell ref="G46:M46"/>
    <mergeCell ref="G47:N47"/>
    <mergeCell ref="G48:M48"/>
    <mergeCell ref="G49:N49"/>
    <mergeCell ref="G50:M50"/>
    <mergeCell ref="G51:N51"/>
    <mergeCell ref="D52:D66"/>
    <mergeCell ref="E52:E66"/>
    <mergeCell ref="F52:F66"/>
    <mergeCell ref="G70:M70"/>
    <mergeCell ref="G71:N71"/>
    <mergeCell ref="G72:M72"/>
    <mergeCell ref="G73:I73"/>
    <mergeCell ref="G61:M61"/>
    <mergeCell ref="G62:N62"/>
    <mergeCell ref="G63:M63"/>
    <mergeCell ref="G64:N64"/>
    <mergeCell ref="G65:M65"/>
    <mergeCell ref="G66:M66"/>
    <mergeCell ref="G56:N56"/>
    <mergeCell ref="G57:M57"/>
    <mergeCell ref="G58:N58"/>
    <mergeCell ref="G59:M59"/>
    <mergeCell ref="G60:N60"/>
    <mergeCell ref="G52:N52"/>
    <mergeCell ref="G53:M53"/>
    <mergeCell ref="G54:N54"/>
    <mergeCell ref="G55:M55"/>
    <mergeCell ref="J73:M73"/>
    <mergeCell ref="D67:D73"/>
    <mergeCell ref="E67:E73"/>
    <mergeCell ref="F67:F73"/>
    <mergeCell ref="G67:N67"/>
    <mergeCell ref="G68:M68"/>
    <mergeCell ref="G69:N69"/>
    <mergeCell ref="D91:D93"/>
    <mergeCell ref="E91:E93"/>
    <mergeCell ref="F91:F93"/>
    <mergeCell ref="G91:N91"/>
    <mergeCell ref="G92:M92"/>
    <mergeCell ref="G93:J93"/>
    <mergeCell ref="K93:M93"/>
    <mergeCell ref="D74:D86"/>
    <mergeCell ref="E74:E86"/>
    <mergeCell ref="F74:F86"/>
    <mergeCell ref="G74:N74"/>
    <mergeCell ref="G75:H75"/>
    <mergeCell ref="I75:M75"/>
    <mergeCell ref="G84:N84"/>
    <mergeCell ref="G85:M85"/>
    <mergeCell ref="G86:N86"/>
    <mergeCell ref="A87:B87"/>
    <mergeCell ref="G87:O87"/>
    <mergeCell ref="D88:D90"/>
    <mergeCell ref="E88:E90"/>
    <mergeCell ref="F88:F90"/>
    <mergeCell ref="G88:N88"/>
    <mergeCell ref="G89:M89"/>
    <mergeCell ref="G90:M90"/>
    <mergeCell ref="G103:N103"/>
    <mergeCell ref="G104:M104"/>
    <mergeCell ref="G105:N105"/>
    <mergeCell ref="G106:M106"/>
    <mergeCell ref="D94:D96"/>
    <mergeCell ref="E94:E96"/>
    <mergeCell ref="F94:F96"/>
    <mergeCell ref="G94:N94"/>
    <mergeCell ref="G95:M95"/>
    <mergeCell ref="G96:J96"/>
    <mergeCell ref="K96:M96"/>
    <mergeCell ref="E114:E116"/>
    <mergeCell ref="F114:F116"/>
    <mergeCell ref="G114:N114"/>
    <mergeCell ref="G115:M115"/>
    <mergeCell ref="G116:M116"/>
    <mergeCell ref="G97:O97"/>
    <mergeCell ref="D98:D100"/>
    <mergeCell ref="E98:E100"/>
    <mergeCell ref="F98:F100"/>
    <mergeCell ref="G98:N98"/>
    <mergeCell ref="G99:L99"/>
    <mergeCell ref="G100:M100"/>
    <mergeCell ref="D108:D110"/>
    <mergeCell ref="E108:E110"/>
    <mergeCell ref="F108:F110"/>
    <mergeCell ref="G108:N108"/>
    <mergeCell ref="G109:M109"/>
    <mergeCell ref="G110:M110"/>
    <mergeCell ref="G107:M107"/>
    <mergeCell ref="D101:D107"/>
    <mergeCell ref="E101:E107"/>
    <mergeCell ref="F101:F107"/>
    <mergeCell ref="G101:N101"/>
    <mergeCell ref="G102:M102"/>
    <mergeCell ref="A7:A86"/>
    <mergeCell ref="C7:C15"/>
    <mergeCell ref="C16:C18"/>
    <mergeCell ref="G121:K121"/>
    <mergeCell ref="L121:M121"/>
    <mergeCell ref="G122:M122"/>
    <mergeCell ref="A123:B123"/>
    <mergeCell ref="A117:B117"/>
    <mergeCell ref="G117:O117"/>
    <mergeCell ref="G123:O123"/>
    <mergeCell ref="D118:D122"/>
    <mergeCell ref="E118:E122"/>
    <mergeCell ref="F118:F122"/>
    <mergeCell ref="G118:N118"/>
    <mergeCell ref="G119:M119"/>
    <mergeCell ref="D111:D113"/>
    <mergeCell ref="E111:E113"/>
    <mergeCell ref="F111:F113"/>
    <mergeCell ref="G111:O111"/>
    <mergeCell ref="G112:M112"/>
    <mergeCell ref="G113:I113"/>
    <mergeCell ref="J113:M113"/>
    <mergeCell ref="G120:N120"/>
    <mergeCell ref="D114:D116"/>
  </mergeCells>
  <phoneticPr fontId="2" type="noConversion"/>
  <printOptions horizontalCentered="1"/>
  <pageMargins left="0.11811023622047245" right="0.11811023622047245" top="0.51181102362204722" bottom="0.19685039370078741" header="0.31496062992125984" footer="0.11811023622047245"/>
  <pageSetup paperSize="9" scale="7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>
      <selection activeCell="G11" sqref="G11"/>
    </sheetView>
  </sheetViews>
  <sheetFormatPr defaultRowHeight="16.5"/>
  <cols>
    <col min="1" max="1" width="5.5" customWidth="1"/>
    <col min="2" max="2" width="9.75" customWidth="1"/>
    <col min="4" max="4" width="7.75" customWidth="1"/>
    <col min="5" max="5" width="13.625" customWidth="1"/>
    <col min="6" max="11" width="11.625" customWidth="1"/>
  </cols>
  <sheetData>
    <row r="1" spans="1:21" ht="38.25" customHeight="1" thickBot="1">
      <c r="A1" s="312" t="s">
        <v>127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21" s="94" customFormat="1" ht="39" customHeight="1" thickBot="1">
      <c r="A2" s="114" t="s">
        <v>128</v>
      </c>
      <c r="B2" s="115" t="s">
        <v>129</v>
      </c>
      <c r="C2" s="115" t="s">
        <v>125</v>
      </c>
      <c r="D2" s="115" t="s">
        <v>130</v>
      </c>
      <c r="E2" s="116" t="s">
        <v>131</v>
      </c>
      <c r="F2" s="115" t="s">
        <v>170</v>
      </c>
      <c r="G2" s="115" t="s">
        <v>126</v>
      </c>
      <c r="H2" s="115" t="s">
        <v>136</v>
      </c>
      <c r="I2" s="115" t="s">
        <v>137</v>
      </c>
      <c r="J2" s="115" t="s">
        <v>138</v>
      </c>
      <c r="K2" s="117" t="s">
        <v>139</v>
      </c>
      <c r="M2" s="95"/>
      <c r="N2" s="95"/>
      <c r="O2" s="95"/>
      <c r="P2" s="95"/>
      <c r="Q2" s="95"/>
      <c r="R2" s="95"/>
      <c r="S2" s="95"/>
      <c r="T2" s="95"/>
      <c r="U2" s="95"/>
    </row>
    <row r="3" spans="1:21" s="94" customFormat="1" ht="24.95" customHeight="1" thickTop="1">
      <c r="A3" s="106">
        <v>1</v>
      </c>
      <c r="B3" s="107" t="s">
        <v>157</v>
      </c>
      <c r="C3" s="107"/>
      <c r="D3" s="108" t="s">
        <v>166</v>
      </c>
      <c r="E3" s="109">
        <f>1755000*12</f>
        <v>21060000</v>
      </c>
      <c r="F3" s="112">
        <f>250000*12</f>
        <v>3000000</v>
      </c>
      <c r="G3" s="111">
        <f>SUM(E3:F3)*3%</f>
        <v>721800</v>
      </c>
      <c r="H3" s="110">
        <f>SUM(E3:F3)*4.5%</f>
        <v>1082700</v>
      </c>
      <c r="I3" s="110">
        <f>SUM(E3:F3)*0.65%</f>
        <v>156390</v>
      </c>
      <c r="J3" s="110">
        <f>SUM(E3:F3)*0.5%</f>
        <v>120300</v>
      </c>
      <c r="K3" s="113">
        <f>SUM(E3:F3)/12</f>
        <v>2005000</v>
      </c>
      <c r="M3" s="95"/>
      <c r="N3" s="95"/>
      <c r="O3" s="95"/>
      <c r="P3" s="95"/>
      <c r="Q3" s="95"/>
      <c r="R3" s="95"/>
      <c r="S3" s="95"/>
      <c r="T3" s="95"/>
      <c r="U3" s="95"/>
    </row>
    <row r="4" spans="1:21" s="94" customFormat="1" ht="24.95" customHeight="1">
      <c r="A4" s="99">
        <v>2</v>
      </c>
      <c r="B4" s="85" t="s">
        <v>140</v>
      </c>
      <c r="C4" s="85"/>
      <c r="D4" s="86" t="s">
        <v>167</v>
      </c>
      <c r="E4" s="87">
        <f>1710000*12</f>
        <v>20520000</v>
      </c>
      <c r="F4" s="112">
        <f t="shared" ref="F4:F6" si="0">250000*12</f>
        <v>3000000</v>
      </c>
      <c r="G4" s="89">
        <f t="shared" ref="G4:G6" si="1">SUM(E4:F4)*3%</f>
        <v>705600</v>
      </c>
      <c r="H4" s="88">
        <f t="shared" ref="H4:H6" si="2">SUM(E4:F4)*4.5%</f>
        <v>1058400</v>
      </c>
      <c r="I4" s="88">
        <f t="shared" ref="I4:I6" si="3">SUM(E4:F4)*0.65%</f>
        <v>152880</v>
      </c>
      <c r="J4" s="88">
        <f t="shared" ref="J4:J6" si="4">SUM(E4:F4)*0.5%</f>
        <v>117600</v>
      </c>
      <c r="K4" s="100">
        <f t="shared" ref="K4:K6" si="5">SUM(E4:F4)/12</f>
        <v>1960000</v>
      </c>
      <c r="M4" s="95"/>
      <c r="N4" s="95"/>
      <c r="O4" s="95"/>
      <c r="P4" s="95"/>
      <c r="Q4" s="95"/>
      <c r="R4" s="95"/>
      <c r="S4" s="95"/>
      <c r="T4" s="95"/>
      <c r="U4" s="95"/>
    </row>
    <row r="5" spans="1:21" s="94" customFormat="1" ht="24.95" customHeight="1">
      <c r="A5" s="99">
        <v>3</v>
      </c>
      <c r="B5" s="85" t="s">
        <v>158</v>
      </c>
      <c r="C5" s="85"/>
      <c r="D5" s="86" t="s">
        <v>168</v>
      </c>
      <c r="E5" s="87">
        <f>1574000*12</f>
        <v>18888000</v>
      </c>
      <c r="F5" s="112">
        <f t="shared" si="0"/>
        <v>3000000</v>
      </c>
      <c r="G5" s="89">
        <f t="shared" si="1"/>
        <v>656640</v>
      </c>
      <c r="H5" s="88">
        <f t="shared" si="2"/>
        <v>984960</v>
      </c>
      <c r="I5" s="88">
        <f t="shared" si="3"/>
        <v>142272</v>
      </c>
      <c r="J5" s="88">
        <f t="shared" si="4"/>
        <v>109440</v>
      </c>
      <c r="K5" s="100">
        <f t="shared" si="5"/>
        <v>1824000</v>
      </c>
      <c r="M5" s="95"/>
      <c r="N5" s="95"/>
      <c r="O5" s="95"/>
      <c r="P5" s="95"/>
      <c r="Q5" s="95"/>
      <c r="R5" s="95"/>
      <c r="S5" s="95"/>
      <c r="T5" s="95"/>
      <c r="U5" s="95"/>
    </row>
    <row r="6" spans="1:21" s="94" customFormat="1" ht="24.95" customHeight="1" thickBot="1">
      <c r="A6" s="99">
        <v>4</v>
      </c>
      <c r="B6" s="85" t="s">
        <v>141</v>
      </c>
      <c r="C6" s="85"/>
      <c r="D6" s="86" t="s">
        <v>169</v>
      </c>
      <c r="E6" s="87">
        <f>2240000*12</f>
        <v>26880000</v>
      </c>
      <c r="F6" s="112">
        <f t="shared" si="0"/>
        <v>3000000</v>
      </c>
      <c r="G6" s="89">
        <f t="shared" si="1"/>
        <v>896400</v>
      </c>
      <c r="H6" s="88">
        <f t="shared" si="2"/>
        <v>1344600</v>
      </c>
      <c r="I6" s="88">
        <f t="shared" si="3"/>
        <v>194220.00000000003</v>
      </c>
      <c r="J6" s="88">
        <f t="shared" si="4"/>
        <v>149400</v>
      </c>
      <c r="K6" s="100">
        <f t="shared" si="5"/>
        <v>2490000</v>
      </c>
      <c r="M6" s="95"/>
      <c r="N6" s="95"/>
      <c r="O6" s="95"/>
      <c r="P6" s="95"/>
      <c r="Q6" s="95"/>
      <c r="R6" s="95"/>
      <c r="S6" s="95"/>
      <c r="T6" s="95"/>
      <c r="U6" s="95"/>
    </row>
    <row r="7" spans="1:21" s="96" customFormat="1" ht="24.95" customHeight="1">
      <c r="A7" s="313" t="s">
        <v>132</v>
      </c>
      <c r="B7" s="318" t="s">
        <v>133</v>
      </c>
      <c r="C7" s="318"/>
      <c r="D7" s="318"/>
      <c r="E7" s="104">
        <f t="shared" ref="E7:K7" si="6">SUM(E3:E6)</f>
        <v>87348000</v>
      </c>
      <c r="F7" s="104">
        <f t="shared" si="6"/>
        <v>12000000</v>
      </c>
      <c r="G7" s="104">
        <f t="shared" si="6"/>
        <v>2980440</v>
      </c>
      <c r="H7" s="104">
        <f t="shared" si="6"/>
        <v>4470660</v>
      </c>
      <c r="I7" s="104">
        <f t="shared" si="6"/>
        <v>645762</v>
      </c>
      <c r="J7" s="104">
        <f t="shared" si="6"/>
        <v>496740</v>
      </c>
      <c r="K7" s="105">
        <f t="shared" si="6"/>
        <v>8279000</v>
      </c>
      <c r="M7" s="97"/>
      <c r="N7" s="97"/>
      <c r="O7" s="97"/>
      <c r="P7" s="97"/>
      <c r="Q7" s="97"/>
      <c r="R7" s="97"/>
      <c r="S7" s="97"/>
      <c r="T7" s="97"/>
      <c r="U7" s="97"/>
    </row>
    <row r="8" spans="1:21" s="96" customFormat="1" ht="24.95" customHeight="1">
      <c r="A8" s="314"/>
      <c r="B8" s="319" t="s">
        <v>134</v>
      </c>
      <c r="C8" s="320"/>
      <c r="D8" s="320"/>
      <c r="E8" s="90"/>
      <c r="F8" s="92"/>
      <c r="G8" s="93"/>
      <c r="H8" s="91"/>
      <c r="I8" s="91"/>
      <c r="J8" s="91"/>
      <c r="K8" s="101"/>
      <c r="M8" s="97"/>
      <c r="N8" s="97"/>
      <c r="O8" s="97"/>
      <c r="P8" s="97"/>
      <c r="Q8" s="97"/>
      <c r="R8" s="97"/>
      <c r="S8" s="97"/>
      <c r="T8" s="97"/>
      <c r="U8" s="97"/>
    </row>
    <row r="9" spans="1:21" s="98" customFormat="1" ht="24.95" customHeight="1" thickBot="1">
      <c r="A9" s="315"/>
      <c r="B9" s="316" t="s">
        <v>135</v>
      </c>
      <c r="C9" s="317"/>
      <c r="D9" s="317"/>
      <c r="E9" s="102">
        <f>SUM(E7:E8)</f>
        <v>87348000</v>
      </c>
      <c r="F9" s="102">
        <f t="shared" ref="F9:K9" si="7">SUM(F7:F8)</f>
        <v>12000000</v>
      </c>
      <c r="G9" s="102">
        <f t="shared" si="7"/>
        <v>2980440</v>
      </c>
      <c r="H9" s="102">
        <f t="shared" si="7"/>
        <v>4470660</v>
      </c>
      <c r="I9" s="102">
        <f t="shared" si="7"/>
        <v>645762</v>
      </c>
      <c r="J9" s="102">
        <f t="shared" si="7"/>
        <v>496740</v>
      </c>
      <c r="K9" s="103">
        <f t="shared" si="7"/>
        <v>8279000</v>
      </c>
    </row>
    <row r="11" spans="1:21" ht="279.75" customHeight="1"/>
    <row r="13" spans="1:21">
      <c r="E13" s="82">
        <f>SUM(E3:E12)</f>
        <v>262044000</v>
      </c>
      <c r="F13" s="84">
        <f t="shared" ref="F13" si="8">SUM(F3:F12)</f>
        <v>36000000</v>
      </c>
      <c r="G13" s="84">
        <f t="shared" ref="G13" si="9">SUM(G3:G12)</f>
        <v>8941320</v>
      </c>
      <c r="H13" s="84">
        <f t="shared" ref="H13" si="10">SUM(H3:H12)</f>
        <v>13411980</v>
      </c>
      <c r="I13" s="84">
        <f t="shared" ref="I13" si="11">SUM(I3:I12)</f>
        <v>1937286</v>
      </c>
      <c r="J13" s="84">
        <f t="shared" ref="J13" si="12">SUM(J3:J12)</f>
        <v>1490220</v>
      </c>
      <c r="K13" s="84">
        <f t="shared" ref="K13" si="13">SUM(K3:K12)</f>
        <v>24837000</v>
      </c>
    </row>
    <row r="14" spans="1:21">
      <c r="F14" s="83"/>
    </row>
    <row r="17" spans="6:9">
      <c r="F17" s="310"/>
      <c r="G17" s="311">
        <f>SUM(G9:J9)</f>
        <v>8593602</v>
      </c>
      <c r="H17" s="310"/>
      <c r="I17" s="310"/>
    </row>
    <row r="18" spans="6:9">
      <c r="F18" s="310"/>
      <c r="G18" s="310"/>
      <c r="H18" s="310"/>
      <c r="I18" s="310"/>
    </row>
  </sheetData>
  <mergeCells count="7">
    <mergeCell ref="F17:F18"/>
    <mergeCell ref="G17:I18"/>
    <mergeCell ref="A1:K1"/>
    <mergeCell ref="A7:A9"/>
    <mergeCell ref="B9:D9"/>
    <mergeCell ref="B7:D7"/>
    <mergeCell ref="B8:D8"/>
  </mergeCells>
  <phoneticPr fontId="2" type="noConversion"/>
  <printOptions horizontalCentered="1"/>
  <pageMargins left="0.19" right="0.12" top="0.56000000000000005" bottom="0.19685039370078741" header="0.31496062992125984" footer="0.11811023622047245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topLeftCell="A53" workbookViewId="0">
      <selection sqref="A1:L54"/>
    </sheetView>
  </sheetViews>
  <sheetFormatPr defaultRowHeight="16.5"/>
  <cols>
    <col min="1" max="2" width="9.625" customWidth="1"/>
    <col min="3" max="3" width="10.625" customWidth="1"/>
    <col min="4" max="6" width="13.625" customWidth="1"/>
    <col min="7" max="9" width="9.625" customWidth="1"/>
    <col min="10" max="12" width="13.625" customWidth="1"/>
  </cols>
  <sheetData>
    <row r="1" spans="1:12" ht="45" customHeight="1" thickBot="1">
      <c r="A1" s="430" t="s">
        <v>230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ht="20.100000000000001" customHeight="1">
      <c r="A2" s="431" t="s">
        <v>171</v>
      </c>
      <c r="B2" s="432"/>
      <c r="C2" s="432"/>
      <c r="D2" s="432"/>
      <c r="E2" s="432"/>
      <c r="F2" s="433"/>
      <c r="G2" s="431" t="s">
        <v>172</v>
      </c>
      <c r="H2" s="432"/>
      <c r="I2" s="432"/>
      <c r="J2" s="432"/>
      <c r="K2" s="432"/>
      <c r="L2" s="434"/>
    </row>
    <row r="3" spans="1:12" ht="20.100000000000001" customHeight="1">
      <c r="A3" s="426" t="s">
        <v>0</v>
      </c>
      <c r="B3" s="427"/>
      <c r="C3" s="427"/>
      <c r="D3" s="427" t="s">
        <v>173</v>
      </c>
      <c r="E3" s="427"/>
      <c r="F3" s="121" t="s">
        <v>174</v>
      </c>
      <c r="G3" s="426" t="s">
        <v>0</v>
      </c>
      <c r="H3" s="427"/>
      <c r="I3" s="427"/>
      <c r="J3" s="427" t="s">
        <v>173</v>
      </c>
      <c r="K3" s="427"/>
      <c r="L3" s="122" t="s">
        <v>174</v>
      </c>
    </row>
    <row r="4" spans="1:12" ht="20.100000000000001" customHeight="1">
      <c r="A4" s="426" t="s">
        <v>2</v>
      </c>
      <c r="B4" s="427" t="s">
        <v>175</v>
      </c>
      <c r="C4" s="427" t="s">
        <v>4</v>
      </c>
      <c r="D4" s="123" t="s">
        <v>176</v>
      </c>
      <c r="E4" s="123" t="s">
        <v>177</v>
      </c>
      <c r="F4" s="121" t="s">
        <v>178</v>
      </c>
      <c r="G4" s="428" t="s">
        <v>2</v>
      </c>
      <c r="H4" s="427" t="s">
        <v>175</v>
      </c>
      <c r="I4" s="427" t="s">
        <v>4</v>
      </c>
      <c r="J4" s="123" t="s">
        <v>176</v>
      </c>
      <c r="K4" s="123" t="s">
        <v>177</v>
      </c>
      <c r="L4" s="122" t="s">
        <v>178</v>
      </c>
    </row>
    <row r="5" spans="1:12" ht="20.100000000000001" customHeight="1">
      <c r="A5" s="426"/>
      <c r="B5" s="427"/>
      <c r="C5" s="427"/>
      <c r="D5" s="123" t="s">
        <v>179</v>
      </c>
      <c r="E5" s="123" t="s">
        <v>180</v>
      </c>
      <c r="F5" s="121" t="s">
        <v>181</v>
      </c>
      <c r="G5" s="429"/>
      <c r="H5" s="427"/>
      <c r="I5" s="427"/>
      <c r="J5" s="123" t="s">
        <v>179</v>
      </c>
      <c r="K5" s="123" t="s">
        <v>180</v>
      </c>
      <c r="L5" s="122" t="s">
        <v>181</v>
      </c>
    </row>
    <row r="6" spans="1:12" ht="20.100000000000001" customHeight="1">
      <c r="A6" s="421" t="s">
        <v>6</v>
      </c>
      <c r="B6" s="422"/>
      <c r="C6" s="422"/>
      <c r="D6" s="124">
        <f>D11+D16+D21+D24+D27+D32+D41</f>
        <v>67107852</v>
      </c>
      <c r="E6" s="124">
        <f t="shared" ref="E6:F6" si="0">E11+E16+E21+E24+E27+E32+E41</f>
        <v>208126400</v>
      </c>
      <c r="F6" s="124">
        <f t="shared" si="0"/>
        <v>141018548</v>
      </c>
      <c r="G6" s="421" t="s">
        <v>6</v>
      </c>
      <c r="H6" s="422"/>
      <c r="I6" s="422"/>
      <c r="J6" s="124">
        <f>J33+J40+J51+J54</f>
        <v>67107852</v>
      </c>
      <c r="K6" s="124">
        <f>K33+K40+K51+K54</f>
        <v>208126400</v>
      </c>
      <c r="L6" s="124">
        <f>L33+L40+L51+L54</f>
        <v>141018548</v>
      </c>
    </row>
    <row r="7" spans="1:12" ht="18" customHeight="1">
      <c r="A7" s="397" t="s">
        <v>163</v>
      </c>
      <c r="B7" s="356" t="s">
        <v>164</v>
      </c>
      <c r="C7" s="423" t="s">
        <v>182</v>
      </c>
      <c r="D7" s="402">
        <v>7827262</v>
      </c>
      <c r="E7" s="402">
        <v>34555280</v>
      </c>
      <c r="F7" s="404">
        <f>E7-D7</f>
        <v>26728018</v>
      </c>
      <c r="G7" s="424" t="s">
        <v>183</v>
      </c>
      <c r="H7" s="356" t="s">
        <v>184</v>
      </c>
      <c r="I7" s="356" t="s">
        <v>185</v>
      </c>
      <c r="J7" s="409">
        <v>36900000</v>
      </c>
      <c r="K7" s="409">
        <v>87348000</v>
      </c>
      <c r="L7" s="410">
        <f>K7-J7</f>
        <v>50448000</v>
      </c>
    </row>
    <row r="8" spans="1:12" ht="18" customHeight="1">
      <c r="A8" s="397"/>
      <c r="B8" s="356"/>
      <c r="C8" s="400"/>
      <c r="D8" s="413"/>
      <c r="E8" s="413"/>
      <c r="F8" s="420"/>
      <c r="G8" s="424"/>
      <c r="H8" s="356"/>
      <c r="I8" s="356"/>
      <c r="J8" s="409"/>
      <c r="K8" s="409"/>
      <c r="L8" s="410"/>
    </row>
    <row r="9" spans="1:12" ht="18" customHeight="1">
      <c r="A9" s="397"/>
      <c r="B9" s="356"/>
      <c r="C9" s="399" t="s">
        <v>186</v>
      </c>
      <c r="D9" s="401">
        <v>2397000</v>
      </c>
      <c r="E9" s="401">
        <v>21900000</v>
      </c>
      <c r="F9" s="404">
        <f>E9-D9</f>
        <v>19503000</v>
      </c>
      <c r="G9" s="424"/>
      <c r="H9" s="356"/>
      <c r="I9" s="356" t="s">
        <v>156</v>
      </c>
      <c r="J9" s="409">
        <v>2700000</v>
      </c>
      <c r="K9" s="409">
        <v>12000000</v>
      </c>
      <c r="L9" s="410">
        <f>K9-J9</f>
        <v>9300000</v>
      </c>
    </row>
    <row r="10" spans="1:12" ht="18" customHeight="1">
      <c r="A10" s="397"/>
      <c r="B10" s="356"/>
      <c r="C10" s="400"/>
      <c r="D10" s="413"/>
      <c r="E10" s="413"/>
      <c r="F10" s="420"/>
      <c r="G10" s="424"/>
      <c r="H10" s="356"/>
      <c r="I10" s="356"/>
      <c r="J10" s="409"/>
      <c r="K10" s="409"/>
      <c r="L10" s="410"/>
    </row>
    <row r="11" spans="1:12" ht="18" customHeight="1">
      <c r="A11" s="372"/>
      <c r="B11" s="373"/>
      <c r="C11" s="125"/>
      <c r="D11" s="126">
        <f>SUM(D7:D10)</f>
        <v>10224262</v>
      </c>
      <c r="E11" s="126">
        <f t="shared" ref="E11:F11" si="1">SUM(E7:E10)</f>
        <v>56455280</v>
      </c>
      <c r="F11" s="127">
        <f t="shared" si="1"/>
        <v>46231018</v>
      </c>
      <c r="G11" s="424"/>
      <c r="H11" s="356"/>
      <c r="I11" s="356" t="s">
        <v>187</v>
      </c>
      <c r="J11" s="409">
        <v>3298680</v>
      </c>
      <c r="K11" s="409">
        <v>8279000</v>
      </c>
      <c r="L11" s="410">
        <f t="shared" ref="L11" si="2">K11-J11</f>
        <v>4980320</v>
      </c>
    </row>
    <row r="12" spans="1:12" ht="18" customHeight="1">
      <c r="A12" s="396" t="s">
        <v>188</v>
      </c>
      <c r="B12" s="356" t="s">
        <v>189</v>
      </c>
      <c r="C12" s="388" t="s">
        <v>190</v>
      </c>
      <c r="D12" s="401"/>
      <c r="E12" s="401"/>
      <c r="F12" s="414">
        <f>E12-D12</f>
        <v>0</v>
      </c>
      <c r="G12" s="424"/>
      <c r="H12" s="356"/>
      <c r="I12" s="356"/>
      <c r="J12" s="409"/>
      <c r="K12" s="409"/>
      <c r="L12" s="410"/>
    </row>
    <row r="13" spans="1:12" ht="18" customHeight="1">
      <c r="A13" s="397"/>
      <c r="B13" s="356"/>
      <c r="C13" s="419"/>
      <c r="D13" s="402"/>
      <c r="E13" s="402"/>
      <c r="F13" s="415"/>
      <c r="G13" s="424"/>
      <c r="H13" s="356"/>
      <c r="I13" s="356" t="s">
        <v>191</v>
      </c>
      <c r="J13" s="417">
        <v>4398075</v>
      </c>
      <c r="K13" s="409">
        <v>8593602</v>
      </c>
      <c r="L13" s="410">
        <f t="shared" ref="L13" si="3">K13-J13</f>
        <v>4195527</v>
      </c>
    </row>
    <row r="14" spans="1:12" ht="18" customHeight="1">
      <c r="A14" s="397"/>
      <c r="B14" s="356"/>
      <c r="C14" s="419"/>
      <c r="D14" s="402"/>
      <c r="E14" s="402"/>
      <c r="F14" s="415"/>
      <c r="G14" s="424"/>
      <c r="H14" s="356"/>
      <c r="I14" s="356"/>
      <c r="J14" s="418"/>
      <c r="K14" s="409"/>
      <c r="L14" s="410"/>
    </row>
    <row r="15" spans="1:12" ht="18" customHeight="1">
      <c r="A15" s="398"/>
      <c r="B15" s="356"/>
      <c r="C15" s="389"/>
      <c r="D15" s="413"/>
      <c r="E15" s="413"/>
      <c r="F15" s="416"/>
      <c r="G15" s="424"/>
      <c r="H15" s="356"/>
      <c r="I15" s="356" t="s">
        <v>192</v>
      </c>
      <c r="J15" s="411">
        <v>780000</v>
      </c>
      <c r="K15" s="409"/>
      <c r="L15" s="410">
        <f t="shared" ref="L15" si="4">K15-J15</f>
        <v>-780000</v>
      </c>
    </row>
    <row r="16" spans="1:12" ht="18" customHeight="1">
      <c r="A16" s="372"/>
      <c r="B16" s="373"/>
      <c r="C16" s="125"/>
      <c r="D16" s="126">
        <f>SUM(D12:D15)</f>
        <v>0</v>
      </c>
      <c r="E16" s="126">
        <f t="shared" ref="E16:F16" si="5">SUM(E12:E15)</f>
        <v>0</v>
      </c>
      <c r="F16" s="127">
        <f t="shared" si="5"/>
        <v>0</v>
      </c>
      <c r="G16" s="424"/>
      <c r="H16" s="356"/>
      <c r="I16" s="356"/>
      <c r="J16" s="412"/>
      <c r="K16" s="409"/>
      <c r="L16" s="410"/>
    </row>
    <row r="17" spans="1:12" ht="18" customHeight="1">
      <c r="A17" s="396" t="s">
        <v>193</v>
      </c>
      <c r="B17" s="356" t="s">
        <v>194</v>
      </c>
      <c r="C17" s="399" t="s">
        <v>195</v>
      </c>
      <c r="D17" s="401"/>
      <c r="E17" s="401"/>
      <c r="F17" s="403">
        <f>E17-D17</f>
        <v>0</v>
      </c>
      <c r="G17" s="424"/>
      <c r="H17" s="356" t="s">
        <v>196</v>
      </c>
      <c r="I17" s="356" t="s">
        <v>197</v>
      </c>
      <c r="J17" s="411"/>
      <c r="K17" s="409">
        <v>800000</v>
      </c>
      <c r="L17" s="410">
        <f t="shared" ref="L17" si="6">K17-J17</f>
        <v>800000</v>
      </c>
    </row>
    <row r="18" spans="1:12" ht="18" customHeight="1">
      <c r="A18" s="397"/>
      <c r="B18" s="356"/>
      <c r="C18" s="400"/>
      <c r="D18" s="402"/>
      <c r="E18" s="402"/>
      <c r="F18" s="404"/>
      <c r="G18" s="424"/>
      <c r="H18" s="356"/>
      <c r="I18" s="356"/>
      <c r="J18" s="412"/>
      <c r="K18" s="409"/>
      <c r="L18" s="410"/>
    </row>
    <row r="19" spans="1:12" ht="18" customHeight="1">
      <c r="A19" s="397"/>
      <c r="B19" s="356"/>
      <c r="C19" s="399" t="s">
        <v>198</v>
      </c>
      <c r="D19" s="401"/>
      <c r="E19" s="401"/>
      <c r="F19" s="403">
        <f>E19-D19</f>
        <v>0</v>
      </c>
      <c r="G19" s="424"/>
      <c r="H19" s="356"/>
      <c r="I19" s="356" t="s">
        <v>199</v>
      </c>
      <c r="J19" s="409"/>
      <c r="K19" s="409"/>
      <c r="L19" s="410">
        <f t="shared" ref="L19" si="7">K19-J19</f>
        <v>0</v>
      </c>
    </row>
    <row r="20" spans="1:12" ht="18" customHeight="1">
      <c r="A20" s="398"/>
      <c r="B20" s="356"/>
      <c r="C20" s="400"/>
      <c r="D20" s="413"/>
      <c r="E20" s="413"/>
      <c r="F20" s="404"/>
      <c r="G20" s="424"/>
      <c r="H20" s="356"/>
      <c r="I20" s="356"/>
      <c r="J20" s="409"/>
      <c r="K20" s="409"/>
      <c r="L20" s="410"/>
    </row>
    <row r="21" spans="1:12" ht="18" customHeight="1">
      <c r="A21" s="372"/>
      <c r="B21" s="373"/>
      <c r="C21" s="125"/>
      <c r="D21" s="126">
        <f>SUM(D17:D20)</f>
        <v>0</v>
      </c>
      <c r="E21" s="126">
        <f t="shared" ref="E21:F21" si="8">SUM(E17:E20)</f>
        <v>0</v>
      </c>
      <c r="F21" s="127">
        <f t="shared" si="8"/>
        <v>0</v>
      </c>
      <c r="G21" s="424"/>
      <c r="H21" s="356"/>
      <c r="I21" s="356" t="s">
        <v>200</v>
      </c>
      <c r="J21" s="409">
        <v>100000</v>
      </c>
      <c r="K21" s="409">
        <v>1200000</v>
      </c>
      <c r="L21" s="410">
        <f t="shared" ref="L21:L31" si="9">K21-J21</f>
        <v>1100000</v>
      </c>
    </row>
    <row r="22" spans="1:12" ht="18" customHeight="1">
      <c r="A22" s="396" t="s">
        <v>201</v>
      </c>
      <c r="B22" s="356" t="s">
        <v>202</v>
      </c>
      <c r="C22" s="399" t="s">
        <v>203</v>
      </c>
      <c r="D22" s="405">
        <v>35483590</v>
      </c>
      <c r="E22" s="405">
        <v>138221120</v>
      </c>
      <c r="F22" s="406">
        <f>E22-D22</f>
        <v>102737530</v>
      </c>
      <c r="G22" s="424"/>
      <c r="H22" s="356"/>
      <c r="I22" s="356"/>
      <c r="J22" s="409"/>
      <c r="K22" s="409"/>
      <c r="L22" s="410"/>
    </row>
    <row r="23" spans="1:12" ht="18" customHeight="1">
      <c r="A23" s="398"/>
      <c r="B23" s="356"/>
      <c r="C23" s="400"/>
      <c r="D23" s="366"/>
      <c r="E23" s="366"/>
      <c r="F23" s="407"/>
      <c r="G23" s="424"/>
      <c r="H23" s="344" t="s">
        <v>204</v>
      </c>
      <c r="I23" s="384" t="s">
        <v>205</v>
      </c>
      <c r="J23" s="368"/>
      <c r="K23" s="368">
        <v>800000</v>
      </c>
      <c r="L23" s="370">
        <f t="shared" si="9"/>
        <v>800000</v>
      </c>
    </row>
    <row r="24" spans="1:12" ht="18" customHeight="1">
      <c r="A24" s="372"/>
      <c r="B24" s="373"/>
      <c r="C24" s="125"/>
      <c r="D24" s="126">
        <f>SUM(D22)</f>
        <v>35483590</v>
      </c>
      <c r="E24" s="126">
        <f t="shared" ref="E24:F24" si="10">SUM(E22)</f>
        <v>138221120</v>
      </c>
      <c r="F24" s="127">
        <f t="shared" si="10"/>
        <v>102737530</v>
      </c>
      <c r="G24" s="424"/>
      <c r="H24" s="344"/>
      <c r="I24" s="385"/>
      <c r="J24" s="386"/>
      <c r="K24" s="386"/>
      <c r="L24" s="387"/>
    </row>
    <row r="25" spans="1:12" ht="18" customHeight="1">
      <c r="A25" s="396" t="s">
        <v>206</v>
      </c>
      <c r="B25" s="356" t="s">
        <v>207</v>
      </c>
      <c r="C25" s="399" t="s">
        <v>208</v>
      </c>
      <c r="D25" s="401">
        <v>20000000</v>
      </c>
      <c r="E25" s="401">
        <v>5000000</v>
      </c>
      <c r="F25" s="403">
        <f>E25-D25</f>
        <v>-15000000</v>
      </c>
      <c r="G25" s="424"/>
      <c r="H25" s="344"/>
      <c r="I25" s="394" t="s">
        <v>209</v>
      </c>
      <c r="J25" s="368">
        <v>900000</v>
      </c>
      <c r="K25" s="368">
        <v>6800000</v>
      </c>
      <c r="L25" s="370">
        <f t="shared" si="9"/>
        <v>5900000</v>
      </c>
    </row>
    <row r="26" spans="1:12" ht="18" customHeight="1">
      <c r="A26" s="398"/>
      <c r="B26" s="356"/>
      <c r="C26" s="400"/>
      <c r="D26" s="402"/>
      <c r="E26" s="402"/>
      <c r="F26" s="404"/>
      <c r="G26" s="424"/>
      <c r="H26" s="344"/>
      <c r="I26" s="395"/>
      <c r="J26" s="386"/>
      <c r="K26" s="386"/>
      <c r="L26" s="387"/>
    </row>
    <row r="27" spans="1:12" ht="18" customHeight="1">
      <c r="A27" s="372"/>
      <c r="B27" s="373"/>
      <c r="C27" s="125"/>
      <c r="D27" s="126">
        <f>SUM(D25)</f>
        <v>20000000</v>
      </c>
      <c r="E27" s="126">
        <f t="shared" ref="E27:F27" si="11">SUM(E25)</f>
        <v>5000000</v>
      </c>
      <c r="F27" s="127">
        <f t="shared" si="11"/>
        <v>-15000000</v>
      </c>
      <c r="G27" s="424"/>
      <c r="H27" s="344"/>
      <c r="I27" s="394" t="s">
        <v>210</v>
      </c>
      <c r="J27" s="368">
        <v>1700000</v>
      </c>
      <c r="K27" s="368">
        <v>21140000</v>
      </c>
      <c r="L27" s="370">
        <f t="shared" si="9"/>
        <v>19440000</v>
      </c>
    </row>
    <row r="28" spans="1:12" ht="18" customHeight="1">
      <c r="A28" s="396" t="s">
        <v>211</v>
      </c>
      <c r="B28" s="356" t="s">
        <v>212</v>
      </c>
      <c r="C28" s="399" t="s">
        <v>213</v>
      </c>
      <c r="D28" s="401"/>
      <c r="E28" s="346">
        <v>1000000</v>
      </c>
      <c r="F28" s="382">
        <f>E28-D28</f>
        <v>1000000</v>
      </c>
      <c r="G28" s="424"/>
      <c r="H28" s="344"/>
      <c r="I28" s="395"/>
      <c r="J28" s="386"/>
      <c r="K28" s="386"/>
      <c r="L28" s="387"/>
    </row>
    <row r="29" spans="1:12" ht="18" customHeight="1">
      <c r="A29" s="397"/>
      <c r="B29" s="356"/>
      <c r="C29" s="400"/>
      <c r="D29" s="402"/>
      <c r="E29" s="408"/>
      <c r="F29" s="383"/>
      <c r="G29" s="424"/>
      <c r="H29" s="344"/>
      <c r="I29" s="384" t="s">
        <v>214</v>
      </c>
      <c r="J29" s="368">
        <v>850000</v>
      </c>
      <c r="K29" s="368">
        <v>8800000</v>
      </c>
      <c r="L29" s="370">
        <f t="shared" si="9"/>
        <v>7950000</v>
      </c>
    </row>
    <row r="30" spans="1:12" ht="18" customHeight="1">
      <c r="A30" s="397"/>
      <c r="B30" s="356"/>
      <c r="C30" s="388" t="s">
        <v>215</v>
      </c>
      <c r="D30" s="390"/>
      <c r="E30" s="346"/>
      <c r="F30" s="382">
        <f>E30-D30</f>
        <v>0</v>
      </c>
      <c r="G30" s="424"/>
      <c r="H30" s="344"/>
      <c r="I30" s="385"/>
      <c r="J30" s="386"/>
      <c r="K30" s="386"/>
      <c r="L30" s="387"/>
    </row>
    <row r="31" spans="1:12" ht="18" customHeight="1">
      <c r="A31" s="398"/>
      <c r="B31" s="356"/>
      <c r="C31" s="389"/>
      <c r="D31" s="391"/>
      <c r="E31" s="347"/>
      <c r="F31" s="392"/>
      <c r="G31" s="424"/>
      <c r="H31" s="344"/>
      <c r="I31" s="384" t="s">
        <v>216</v>
      </c>
      <c r="J31" s="368">
        <v>1800000</v>
      </c>
      <c r="K31" s="368">
        <v>6680000</v>
      </c>
      <c r="L31" s="370">
        <f t="shared" si="9"/>
        <v>4880000</v>
      </c>
    </row>
    <row r="32" spans="1:12" ht="18" customHeight="1">
      <c r="A32" s="372"/>
      <c r="B32" s="373"/>
      <c r="C32" s="125"/>
      <c r="D32" s="126">
        <f>SUM(D28:D31)</f>
        <v>0</v>
      </c>
      <c r="E32" s="126">
        <f t="shared" ref="E32:F32" si="12">SUM(E28:E31)</f>
        <v>1000000</v>
      </c>
      <c r="F32" s="126">
        <f t="shared" si="12"/>
        <v>1000000</v>
      </c>
      <c r="G32" s="425"/>
      <c r="H32" s="323"/>
      <c r="I32" s="393"/>
      <c r="J32" s="369"/>
      <c r="K32" s="369"/>
      <c r="L32" s="371"/>
    </row>
    <row r="33" spans="1:12" ht="18" customHeight="1">
      <c r="A33" s="374" t="s">
        <v>217</v>
      </c>
      <c r="B33" s="377" t="s">
        <v>218</v>
      </c>
      <c r="C33" s="356" t="s">
        <v>219</v>
      </c>
      <c r="D33" s="380"/>
      <c r="E33" s="380"/>
      <c r="F33" s="354">
        <f>E33-D33</f>
        <v>0</v>
      </c>
      <c r="G33" s="128"/>
      <c r="H33" s="129"/>
      <c r="I33" s="129"/>
      <c r="J33" s="130">
        <f>SUM(J7:J32)</f>
        <v>53426755</v>
      </c>
      <c r="K33" s="130">
        <f t="shared" ref="K33:L33" si="13">SUM(K7:K32)</f>
        <v>162440602</v>
      </c>
      <c r="L33" s="131">
        <f t="shared" si="13"/>
        <v>109013847</v>
      </c>
    </row>
    <row r="34" spans="1:12" ht="18" customHeight="1">
      <c r="A34" s="375"/>
      <c r="B34" s="378"/>
      <c r="C34" s="356"/>
      <c r="D34" s="381"/>
      <c r="E34" s="381"/>
      <c r="F34" s="355"/>
      <c r="G34" s="362" t="s">
        <v>107</v>
      </c>
      <c r="H34" s="356" t="s">
        <v>108</v>
      </c>
      <c r="I34" s="344" t="s">
        <v>109</v>
      </c>
      <c r="J34" s="363"/>
      <c r="K34" s="365"/>
      <c r="L34" s="348">
        <f>K34-J34</f>
        <v>0</v>
      </c>
    </row>
    <row r="35" spans="1:12" ht="18" customHeight="1">
      <c r="A35" s="375"/>
      <c r="B35" s="378"/>
      <c r="C35" s="356" t="s">
        <v>220</v>
      </c>
      <c r="D35" s="357">
        <v>100000</v>
      </c>
      <c r="E35" s="357">
        <v>50000</v>
      </c>
      <c r="F35" s="354">
        <f t="shared" ref="F35" si="14">E35-D35</f>
        <v>-50000</v>
      </c>
      <c r="G35" s="362"/>
      <c r="H35" s="356"/>
      <c r="I35" s="344"/>
      <c r="J35" s="364"/>
      <c r="K35" s="366"/>
      <c r="L35" s="349"/>
    </row>
    <row r="36" spans="1:12" ht="18" customHeight="1">
      <c r="A36" s="375"/>
      <c r="B36" s="378"/>
      <c r="C36" s="356"/>
      <c r="D36" s="357"/>
      <c r="E36" s="357"/>
      <c r="F36" s="355"/>
      <c r="G36" s="362"/>
      <c r="H36" s="356"/>
      <c r="I36" s="344" t="s">
        <v>221</v>
      </c>
      <c r="J36" s="358">
        <v>7000000</v>
      </c>
      <c r="K36" s="346">
        <v>4000000</v>
      </c>
      <c r="L36" s="348">
        <f t="shared" ref="L36" si="15">K36-J36</f>
        <v>-3000000</v>
      </c>
    </row>
    <row r="37" spans="1:12" ht="18" customHeight="1">
      <c r="A37" s="375"/>
      <c r="B37" s="378"/>
      <c r="C37" s="360" t="s">
        <v>222</v>
      </c>
      <c r="D37" s="361"/>
      <c r="E37" s="357">
        <v>2400000</v>
      </c>
      <c r="F37" s="354">
        <f t="shared" ref="F37" si="16">E37-D37</f>
        <v>2400000</v>
      </c>
      <c r="G37" s="362"/>
      <c r="H37" s="356"/>
      <c r="I37" s="344"/>
      <c r="J37" s="359"/>
      <c r="K37" s="347"/>
      <c r="L37" s="349"/>
    </row>
    <row r="38" spans="1:12" ht="18" customHeight="1">
      <c r="A38" s="375"/>
      <c r="B38" s="378"/>
      <c r="C38" s="360"/>
      <c r="D38" s="361"/>
      <c r="E38" s="357"/>
      <c r="F38" s="355"/>
      <c r="G38" s="362"/>
      <c r="H38" s="356"/>
      <c r="I38" s="367" t="s">
        <v>111</v>
      </c>
      <c r="J38" s="358"/>
      <c r="K38" s="346"/>
      <c r="L38" s="348">
        <f t="shared" ref="L38" si="17">K38-J38</f>
        <v>0</v>
      </c>
    </row>
    <row r="39" spans="1:12" ht="18" customHeight="1">
      <c r="A39" s="375"/>
      <c r="B39" s="378"/>
      <c r="C39" s="350" t="s">
        <v>223</v>
      </c>
      <c r="D39" s="352">
        <v>1300000</v>
      </c>
      <c r="E39" s="352">
        <v>5000000</v>
      </c>
      <c r="F39" s="354">
        <f t="shared" ref="F39" si="18">E39-D39</f>
        <v>3700000</v>
      </c>
      <c r="G39" s="362"/>
      <c r="H39" s="356"/>
      <c r="I39" s="367"/>
      <c r="J39" s="359"/>
      <c r="K39" s="347"/>
      <c r="L39" s="349"/>
    </row>
    <row r="40" spans="1:12" ht="18" customHeight="1">
      <c r="A40" s="376"/>
      <c r="B40" s="379"/>
      <c r="C40" s="351"/>
      <c r="D40" s="353"/>
      <c r="E40" s="353"/>
      <c r="F40" s="355"/>
      <c r="G40" s="128"/>
      <c r="H40" s="132"/>
      <c r="I40" s="129"/>
      <c r="J40" s="133">
        <f>SUM(J34:J39)</f>
        <v>7000000</v>
      </c>
      <c r="K40" s="134">
        <f t="shared" ref="K40:L40" si="19">SUM(K34:K39)</f>
        <v>4000000</v>
      </c>
      <c r="L40" s="135">
        <f t="shared" si="19"/>
        <v>-3000000</v>
      </c>
    </row>
    <row r="41" spans="1:12" ht="18" customHeight="1" thickBot="1">
      <c r="A41" s="337"/>
      <c r="B41" s="338"/>
      <c r="C41" s="136"/>
      <c r="D41" s="137">
        <f>SUM(D33:D40)</f>
        <v>1400000</v>
      </c>
      <c r="E41" s="137">
        <f t="shared" ref="E41:F41" si="20">SUM(E33:E40)</f>
        <v>7450000</v>
      </c>
      <c r="F41" s="138">
        <f t="shared" si="20"/>
        <v>6050000</v>
      </c>
      <c r="G41" s="339" t="s">
        <v>224</v>
      </c>
      <c r="H41" s="342" t="s">
        <v>225</v>
      </c>
      <c r="I41" s="344" t="s">
        <v>161</v>
      </c>
      <c r="J41" s="345">
        <v>2820000</v>
      </c>
      <c r="K41" s="345">
        <v>21900000</v>
      </c>
      <c r="L41" s="329">
        <f>K41-J41</f>
        <v>19080000</v>
      </c>
    </row>
    <row r="42" spans="1:12" ht="18" customHeight="1">
      <c r="A42" s="333"/>
      <c r="B42" s="334"/>
      <c r="C42" s="334"/>
      <c r="D42" s="334"/>
      <c r="E42" s="334"/>
      <c r="F42" s="334"/>
      <c r="G42" s="340"/>
      <c r="H42" s="343"/>
      <c r="I42" s="344"/>
      <c r="J42" s="345"/>
      <c r="K42" s="345"/>
      <c r="L42" s="329"/>
    </row>
    <row r="43" spans="1:12" ht="18" customHeight="1">
      <c r="A43" s="333"/>
      <c r="B43" s="334"/>
      <c r="C43" s="334"/>
      <c r="D43" s="334"/>
      <c r="E43" s="334"/>
      <c r="F43" s="334"/>
      <c r="G43" s="340"/>
      <c r="H43" s="343"/>
      <c r="I43" s="330" t="s">
        <v>226</v>
      </c>
      <c r="J43" s="332">
        <v>1300000</v>
      </c>
      <c r="K43" s="332">
        <v>7200000</v>
      </c>
      <c r="L43" s="329">
        <f t="shared" ref="L43:L47" si="21">K43-J43</f>
        <v>5900000</v>
      </c>
    </row>
    <row r="44" spans="1:12" ht="18" customHeight="1">
      <c r="A44" s="333"/>
      <c r="B44" s="334"/>
      <c r="C44" s="334"/>
      <c r="D44" s="334"/>
      <c r="E44" s="334"/>
      <c r="F44" s="334"/>
      <c r="G44" s="340"/>
      <c r="H44" s="343"/>
      <c r="I44" s="331"/>
      <c r="J44" s="332"/>
      <c r="K44" s="332"/>
      <c r="L44" s="329"/>
    </row>
    <row r="45" spans="1:12" ht="18" customHeight="1">
      <c r="A45" s="333"/>
      <c r="B45" s="334"/>
      <c r="C45" s="334"/>
      <c r="D45" s="334"/>
      <c r="E45" s="334"/>
      <c r="F45" s="334"/>
      <c r="G45" s="340"/>
      <c r="H45" s="343"/>
      <c r="I45" s="344" t="s">
        <v>115</v>
      </c>
      <c r="J45" s="332">
        <v>900000</v>
      </c>
      <c r="K45" s="332">
        <v>2000000</v>
      </c>
      <c r="L45" s="329">
        <f t="shared" si="21"/>
        <v>1100000</v>
      </c>
    </row>
    <row r="46" spans="1:12" ht="18" customHeight="1">
      <c r="A46" s="333"/>
      <c r="B46" s="334"/>
      <c r="C46" s="334"/>
      <c r="D46" s="334"/>
      <c r="E46" s="334"/>
      <c r="F46" s="334"/>
      <c r="G46" s="340"/>
      <c r="H46" s="343"/>
      <c r="I46" s="344"/>
      <c r="J46" s="332"/>
      <c r="K46" s="332"/>
      <c r="L46" s="329"/>
    </row>
    <row r="47" spans="1:12" ht="18" customHeight="1">
      <c r="A47" s="333"/>
      <c r="B47" s="334"/>
      <c r="C47" s="334"/>
      <c r="D47" s="334"/>
      <c r="E47" s="334"/>
      <c r="F47" s="334"/>
      <c r="G47" s="340"/>
      <c r="H47" s="343"/>
      <c r="I47" s="323" t="s">
        <v>116</v>
      </c>
      <c r="J47" s="325">
        <v>900000</v>
      </c>
      <c r="K47" s="325">
        <v>2400000</v>
      </c>
      <c r="L47" s="329">
        <f t="shared" si="21"/>
        <v>1500000</v>
      </c>
    </row>
    <row r="48" spans="1:12" ht="18" customHeight="1">
      <c r="A48" s="333"/>
      <c r="B48" s="334"/>
      <c r="C48" s="334"/>
      <c r="D48" s="334"/>
      <c r="E48" s="334"/>
      <c r="F48" s="334"/>
      <c r="G48" s="340"/>
      <c r="H48" s="343"/>
      <c r="I48" s="324"/>
      <c r="J48" s="326"/>
      <c r="K48" s="326"/>
      <c r="L48" s="329"/>
    </row>
    <row r="49" spans="1:12" ht="18" customHeight="1">
      <c r="A49" s="333"/>
      <c r="B49" s="334"/>
      <c r="C49" s="334"/>
      <c r="D49" s="334"/>
      <c r="E49" s="334"/>
      <c r="F49" s="334"/>
      <c r="G49" s="340"/>
      <c r="H49" s="330" t="s">
        <v>118</v>
      </c>
      <c r="I49" s="330" t="s">
        <v>119</v>
      </c>
      <c r="J49" s="332">
        <v>300000</v>
      </c>
      <c r="K49" s="332">
        <v>2400000</v>
      </c>
      <c r="L49" s="329">
        <f t="shared" ref="L49" si="22">K49-J49</f>
        <v>2100000</v>
      </c>
    </row>
    <row r="50" spans="1:12" ht="18" customHeight="1">
      <c r="A50" s="333"/>
      <c r="B50" s="334"/>
      <c r="C50" s="334"/>
      <c r="D50" s="334"/>
      <c r="E50" s="334"/>
      <c r="F50" s="334"/>
      <c r="G50" s="341"/>
      <c r="H50" s="331"/>
      <c r="I50" s="331"/>
      <c r="J50" s="332"/>
      <c r="K50" s="332"/>
      <c r="L50" s="329"/>
    </row>
    <row r="51" spans="1:12" ht="18" customHeight="1">
      <c r="A51" s="333"/>
      <c r="B51" s="334"/>
      <c r="C51" s="334"/>
      <c r="D51" s="334"/>
      <c r="E51" s="334"/>
      <c r="F51" s="334"/>
      <c r="G51" s="139"/>
      <c r="H51" s="140"/>
      <c r="I51" s="141"/>
      <c r="J51" s="142">
        <f>SUM(J41:J50)</f>
        <v>6220000</v>
      </c>
      <c r="K51" s="142">
        <f t="shared" ref="K51:L51" si="23">SUM(K41:K50)</f>
        <v>35900000</v>
      </c>
      <c r="L51" s="143">
        <f t="shared" si="23"/>
        <v>29680000</v>
      </c>
    </row>
    <row r="52" spans="1:12" ht="18" customHeight="1">
      <c r="A52" s="333"/>
      <c r="B52" s="334"/>
      <c r="C52" s="334"/>
      <c r="D52" s="334"/>
      <c r="E52" s="334"/>
      <c r="F52" s="334"/>
      <c r="G52" s="321" t="s">
        <v>227</v>
      </c>
      <c r="H52" s="323" t="s">
        <v>228</v>
      </c>
      <c r="I52" s="323" t="s">
        <v>229</v>
      </c>
      <c r="J52" s="325">
        <v>461097</v>
      </c>
      <c r="K52" s="325">
        <v>5785798</v>
      </c>
      <c r="L52" s="327">
        <f>K52-J52</f>
        <v>5324701</v>
      </c>
    </row>
    <row r="53" spans="1:12" ht="18" customHeight="1">
      <c r="A53" s="333"/>
      <c r="B53" s="334"/>
      <c r="C53" s="334"/>
      <c r="D53" s="334"/>
      <c r="E53" s="334"/>
      <c r="F53" s="334"/>
      <c r="G53" s="322"/>
      <c r="H53" s="324"/>
      <c r="I53" s="324"/>
      <c r="J53" s="326"/>
      <c r="K53" s="326"/>
      <c r="L53" s="328"/>
    </row>
    <row r="54" spans="1:12" ht="18" customHeight="1" thickBot="1">
      <c r="A54" s="335"/>
      <c r="B54" s="336"/>
      <c r="C54" s="336"/>
      <c r="D54" s="336"/>
      <c r="E54" s="336"/>
      <c r="F54" s="336"/>
      <c r="G54" s="144"/>
      <c r="H54" s="145"/>
      <c r="I54" s="146"/>
      <c r="J54" s="147">
        <f>SUM(J52)</f>
        <v>461097</v>
      </c>
      <c r="K54" s="147">
        <f t="shared" ref="K54:L54" si="24">SUM(K52)</f>
        <v>5785798</v>
      </c>
      <c r="L54" s="148">
        <f t="shared" si="24"/>
        <v>5324701</v>
      </c>
    </row>
  </sheetData>
  <mergeCells count="188">
    <mergeCell ref="A4:A5"/>
    <mergeCell ref="B4:B5"/>
    <mergeCell ref="C4:C5"/>
    <mergeCell ref="G4:G5"/>
    <mergeCell ref="H4:H5"/>
    <mergeCell ref="I4:I5"/>
    <mergeCell ref="A1:L1"/>
    <mergeCell ref="A2:F2"/>
    <mergeCell ref="G2:L2"/>
    <mergeCell ref="A3:C3"/>
    <mergeCell ref="D3:E3"/>
    <mergeCell ref="G3:I3"/>
    <mergeCell ref="J3:K3"/>
    <mergeCell ref="A6:C6"/>
    <mergeCell ref="G6:I6"/>
    <mergeCell ref="A7:A10"/>
    <mergeCell ref="B7:B10"/>
    <mergeCell ref="C7:C8"/>
    <mergeCell ref="D7:D8"/>
    <mergeCell ref="E7:E8"/>
    <mergeCell ref="F7:F8"/>
    <mergeCell ref="G7:G32"/>
    <mergeCell ref="H7:H16"/>
    <mergeCell ref="I7:I8"/>
    <mergeCell ref="J7:J8"/>
    <mergeCell ref="K7:K8"/>
    <mergeCell ref="L7:L8"/>
    <mergeCell ref="C9:C10"/>
    <mergeCell ref="D9:D10"/>
    <mergeCell ref="E9:E10"/>
    <mergeCell ref="F9:F10"/>
    <mergeCell ref="I9:I10"/>
    <mergeCell ref="J9:J10"/>
    <mergeCell ref="K9:K10"/>
    <mergeCell ref="L9:L10"/>
    <mergeCell ref="A11:B11"/>
    <mergeCell ref="I11:I12"/>
    <mergeCell ref="J11:J12"/>
    <mergeCell ref="K11:K12"/>
    <mergeCell ref="L11:L12"/>
    <mergeCell ref="A12:A15"/>
    <mergeCell ref="B12:B15"/>
    <mergeCell ref="C12:C15"/>
    <mergeCell ref="E17:E18"/>
    <mergeCell ref="F17:F18"/>
    <mergeCell ref="L13:L14"/>
    <mergeCell ref="I15:I16"/>
    <mergeCell ref="J15:J16"/>
    <mergeCell ref="K15:K16"/>
    <mergeCell ref="L15:L16"/>
    <mergeCell ref="A16:B16"/>
    <mergeCell ref="D12:D15"/>
    <mergeCell ref="E12:E15"/>
    <mergeCell ref="F12:F15"/>
    <mergeCell ref="I13:I14"/>
    <mergeCell ref="J13:J14"/>
    <mergeCell ref="K13:K14"/>
    <mergeCell ref="J19:J20"/>
    <mergeCell ref="K19:K20"/>
    <mergeCell ref="L19:L20"/>
    <mergeCell ref="A21:B21"/>
    <mergeCell ref="I21:I22"/>
    <mergeCell ref="J21:J22"/>
    <mergeCell ref="K21:K22"/>
    <mergeCell ref="L21:L22"/>
    <mergeCell ref="A22:A23"/>
    <mergeCell ref="B22:B23"/>
    <mergeCell ref="H17:H22"/>
    <mergeCell ref="I17:I18"/>
    <mergeCell ref="J17:J18"/>
    <mergeCell ref="K17:K18"/>
    <mergeCell ref="L17:L18"/>
    <mergeCell ref="C19:C20"/>
    <mergeCell ref="D19:D20"/>
    <mergeCell ref="E19:E20"/>
    <mergeCell ref="F19:F20"/>
    <mergeCell ref="I19:I20"/>
    <mergeCell ref="A17:A20"/>
    <mergeCell ref="B17:B20"/>
    <mergeCell ref="C17:C18"/>
    <mergeCell ref="D17:D18"/>
    <mergeCell ref="J23:J24"/>
    <mergeCell ref="K23:K24"/>
    <mergeCell ref="L23:L24"/>
    <mergeCell ref="A24:B24"/>
    <mergeCell ref="A25:A26"/>
    <mergeCell ref="B25:B26"/>
    <mergeCell ref="C25:C26"/>
    <mergeCell ref="D25:D26"/>
    <mergeCell ref="E25:E26"/>
    <mergeCell ref="F25:F26"/>
    <mergeCell ref="C22:C23"/>
    <mergeCell ref="D22:D23"/>
    <mergeCell ref="E22:E23"/>
    <mergeCell ref="F22:F23"/>
    <mergeCell ref="H23:H32"/>
    <mergeCell ref="I23:I24"/>
    <mergeCell ref="I25:I26"/>
    <mergeCell ref="C28:C29"/>
    <mergeCell ref="D28:D29"/>
    <mergeCell ref="E28:E29"/>
    <mergeCell ref="J25:J26"/>
    <mergeCell ref="K25:K26"/>
    <mergeCell ref="L25:L26"/>
    <mergeCell ref="A27:B27"/>
    <mergeCell ref="I27:I28"/>
    <mergeCell ref="J27:J28"/>
    <mergeCell ref="K27:K28"/>
    <mergeCell ref="L27:L28"/>
    <mergeCell ref="A28:A31"/>
    <mergeCell ref="B28:B31"/>
    <mergeCell ref="F28:F29"/>
    <mergeCell ref="I29:I30"/>
    <mergeCell ref="J29:J30"/>
    <mergeCell ref="K29:K30"/>
    <mergeCell ref="L29:L30"/>
    <mergeCell ref="C30:C31"/>
    <mergeCell ref="D30:D31"/>
    <mergeCell ref="E30:E31"/>
    <mergeCell ref="F30:F31"/>
    <mergeCell ref="I31:I32"/>
    <mergeCell ref="I38:I39"/>
    <mergeCell ref="J38:J39"/>
    <mergeCell ref="J31:J32"/>
    <mergeCell ref="K31:K32"/>
    <mergeCell ref="L31:L32"/>
    <mergeCell ref="A32:B32"/>
    <mergeCell ref="A33:A40"/>
    <mergeCell ref="B33:B40"/>
    <mergeCell ref="C33:C34"/>
    <mergeCell ref="D33:D34"/>
    <mergeCell ref="E33:E34"/>
    <mergeCell ref="F33:F34"/>
    <mergeCell ref="K38:K39"/>
    <mergeCell ref="L38:L39"/>
    <mergeCell ref="C39:C40"/>
    <mergeCell ref="D39:D40"/>
    <mergeCell ref="E39:E40"/>
    <mergeCell ref="F39:F40"/>
    <mergeCell ref="C35:C36"/>
    <mergeCell ref="D35:D36"/>
    <mergeCell ref="E35:E36"/>
    <mergeCell ref="F35:F36"/>
    <mergeCell ref="I36:I37"/>
    <mergeCell ref="J36:J37"/>
    <mergeCell ref="C37:C38"/>
    <mergeCell ref="D37:D38"/>
    <mergeCell ref="E37:E38"/>
    <mergeCell ref="F37:F38"/>
    <mergeCell ref="G34:G39"/>
    <mergeCell ref="H34:H39"/>
    <mergeCell ref="I34:I35"/>
    <mergeCell ref="J34:J35"/>
    <mergeCell ref="K34:K35"/>
    <mergeCell ref="L34:L35"/>
    <mergeCell ref="K36:K37"/>
    <mergeCell ref="L36:L37"/>
    <mergeCell ref="L41:L42"/>
    <mergeCell ref="A42:F54"/>
    <mergeCell ref="I43:I44"/>
    <mergeCell ref="J43:J44"/>
    <mergeCell ref="K43:K44"/>
    <mergeCell ref="L43:L44"/>
    <mergeCell ref="A41:B41"/>
    <mergeCell ref="G41:G50"/>
    <mergeCell ref="H41:H48"/>
    <mergeCell ref="I41:I42"/>
    <mergeCell ref="J41:J42"/>
    <mergeCell ref="K41:K42"/>
    <mergeCell ref="I45:I46"/>
    <mergeCell ref="J45:J46"/>
    <mergeCell ref="K45:K46"/>
    <mergeCell ref="G52:G53"/>
    <mergeCell ref="H52:H53"/>
    <mergeCell ref="I52:I53"/>
    <mergeCell ref="J52:J53"/>
    <mergeCell ref="K52:K53"/>
    <mergeCell ref="L52:L53"/>
    <mergeCell ref="L45:L46"/>
    <mergeCell ref="I47:I48"/>
    <mergeCell ref="J47:J48"/>
    <mergeCell ref="K47:K48"/>
    <mergeCell ref="L47:L48"/>
    <mergeCell ref="H49:H50"/>
    <mergeCell ref="I49:I50"/>
    <mergeCell ref="J49:J50"/>
    <mergeCell ref="K49:K50"/>
    <mergeCell ref="L49:L50"/>
  </mergeCells>
  <phoneticPr fontId="2" type="noConversion"/>
  <pageMargins left="0.15748031496062992" right="0.15748031496062992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수입</vt:lpstr>
      <vt:lpstr>지출</vt:lpstr>
      <vt:lpstr>임직원보수일람표</vt:lpstr>
      <vt:lpstr>총괄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cp:lastPrinted>2018-12-21T07:07:58Z</cp:lastPrinted>
  <dcterms:created xsi:type="dcterms:W3CDTF">2018-12-14T01:31:28Z</dcterms:created>
  <dcterms:modified xsi:type="dcterms:W3CDTF">2018-12-21T07:08:50Z</dcterms:modified>
</cp:coreProperties>
</file>