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20175" windowHeight="11760" activeTab="3"/>
  </bookViews>
  <sheets>
    <sheet name="수입" sheetId="1" r:id="rId1"/>
    <sheet name="지출" sheetId="2" r:id="rId2"/>
    <sheet name="임직원보수일람표" sheetId="3" r:id="rId3"/>
    <sheet name="총괄" sheetId="4" r:id="rId4"/>
  </sheets>
  <calcPr calcId="124519"/>
</workbook>
</file>

<file path=xl/calcChain.xml><?xml version="1.0" encoding="utf-8"?>
<calcChain xmlns="http://schemas.openxmlformats.org/spreadsheetml/2006/main">
  <c r="K6" i="4"/>
  <c r="L6"/>
  <c r="K63"/>
  <c r="L63"/>
  <c r="J63"/>
  <c r="J6" s="1"/>
  <c r="L61"/>
  <c r="K60"/>
  <c r="J60"/>
  <c r="L58"/>
  <c r="L56"/>
  <c r="L60" s="1"/>
  <c r="K55"/>
  <c r="J55"/>
  <c r="L43"/>
  <c r="L45"/>
  <c r="L47"/>
  <c r="L49"/>
  <c r="L51"/>
  <c r="L53"/>
  <c r="L41"/>
  <c r="K40"/>
  <c r="J40"/>
  <c r="L36"/>
  <c r="L38"/>
  <c r="L34"/>
  <c r="L40" s="1"/>
  <c r="K33"/>
  <c r="J33"/>
  <c r="L31"/>
  <c r="L29"/>
  <c r="L27"/>
  <c r="L25"/>
  <c r="L23"/>
  <c r="L11"/>
  <c r="L33" s="1"/>
  <c r="L13"/>
  <c r="L15"/>
  <c r="L17"/>
  <c r="L19"/>
  <c r="L21"/>
  <c r="L9"/>
  <c r="L7"/>
  <c r="E41"/>
  <c r="D41"/>
  <c r="F35"/>
  <c r="F37"/>
  <c r="F39"/>
  <c r="F33"/>
  <c r="E32"/>
  <c r="D32"/>
  <c r="F30"/>
  <c r="F28"/>
  <c r="E27"/>
  <c r="D27"/>
  <c r="E24"/>
  <c r="D24"/>
  <c r="F25"/>
  <c r="F27" s="1"/>
  <c r="F22"/>
  <c r="F24" s="1"/>
  <c r="E21"/>
  <c r="D21"/>
  <c r="F19"/>
  <c r="F17"/>
  <c r="E16"/>
  <c r="D16"/>
  <c r="F14"/>
  <c r="F12"/>
  <c r="E11"/>
  <c r="E6" s="1"/>
  <c r="D11"/>
  <c r="D6" s="1"/>
  <c r="F9"/>
  <c r="F7"/>
  <c r="K59" i="3"/>
  <c r="G59"/>
  <c r="F51"/>
  <c r="G51"/>
  <c r="H51"/>
  <c r="I51"/>
  <c r="J51"/>
  <c r="K51"/>
  <c r="L51"/>
  <c r="M51"/>
  <c r="N51"/>
  <c r="O51"/>
  <c r="E51"/>
  <c r="F49"/>
  <c r="G49"/>
  <c r="H49"/>
  <c r="I49"/>
  <c r="J49"/>
  <c r="K49"/>
  <c r="L49"/>
  <c r="M49"/>
  <c r="N49"/>
  <c r="O49"/>
  <c r="E49"/>
  <c r="L27"/>
  <c r="L35"/>
  <c r="L43"/>
  <c r="O150" i="2"/>
  <c r="J20" i="3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8"/>
  <c r="J7"/>
  <c r="J5"/>
  <c r="I9"/>
  <c r="I55" s="1"/>
  <c r="O51" i="2"/>
  <c r="F20" i="3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19"/>
  <c r="G12"/>
  <c r="G4"/>
  <c r="G5"/>
  <c r="G3"/>
  <c r="O45" i="2"/>
  <c r="S26" i="1"/>
  <c r="H4" i="3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3"/>
  <c r="E44"/>
  <c r="M44" s="1"/>
  <c r="E45"/>
  <c r="E46"/>
  <c r="E47"/>
  <c r="E48"/>
  <c r="M48" s="1"/>
  <c r="E43"/>
  <c r="N43" s="1"/>
  <c r="E20"/>
  <c r="E19"/>
  <c r="E22"/>
  <c r="N22" s="1"/>
  <c r="E23"/>
  <c r="N23" s="1"/>
  <c r="E24"/>
  <c r="E21"/>
  <c r="E26"/>
  <c r="N26" s="1"/>
  <c r="E25"/>
  <c r="E27"/>
  <c r="E28"/>
  <c r="E30"/>
  <c r="N30" s="1"/>
  <c r="E31"/>
  <c r="N31" s="1"/>
  <c r="E32"/>
  <c r="E33"/>
  <c r="E34"/>
  <c r="N34" s="1"/>
  <c r="E35"/>
  <c r="N35" s="1"/>
  <c r="E29"/>
  <c r="E37"/>
  <c r="E38"/>
  <c r="N38" s="1"/>
  <c r="E39"/>
  <c r="N39" s="1"/>
  <c r="E40"/>
  <c r="E41"/>
  <c r="E42"/>
  <c r="N42" s="1"/>
  <c r="E36"/>
  <c r="M36" s="1"/>
  <c r="L55" i="4" l="1"/>
  <c r="F32"/>
  <c r="F41"/>
  <c r="F21"/>
  <c r="F16"/>
  <c r="F11"/>
  <c r="N46" i="3"/>
  <c r="M46"/>
  <c r="M38"/>
  <c r="M30"/>
  <c r="M22"/>
  <c r="M25"/>
  <c r="M45"/>
  <c r="L46"/>
  <c r="L38"/>
  <c r="L30"/>
  <c r="L22"/>
  <c r="M39"/>
  <c r="M31"/>
  <c r="M23"/>
  <c r="M29"/>
  <c r="N27"/>
  <c r="L39"/>
  <c r="L31"/>
  <c r="L23"/>
  <c r="M42"/>
  <c r="M34"/>
  <c r="M26"/>
  <c r="M41"/>
  <c r="M37"/>
  <c r="M33"/>
  <c r="M28"/>
  <c r="M21"/>
  <c r="N19"/>
  <c r="N47"/>
  <c r="N45"/>
  <c r="N29"/>
  <c r="N25"/>
  <c r="K48"/>
  <c r="N44"/>
  <c r="M40"/>
  <c r="N36"/>
  <c r="M32"/>
  <c r="M24"/>
  <c r="M20"/>
  <c r="L42"/>
  <c r="L34"/>
  <c r="L26"/>
  <c r="M43"/>
  <c r="M35"/>
  <c r="M27"/>
  <c r="O44"/>
  <c r="O36"/>
  <c r="O28"/>
  <c r="O20"/>
  <c r="K44"/>
  <c r="K36"/>
  <c r="K28"/>
  <c r="K20"/>
  <c r="N48"/>
  <c r="N40"/>
  <c r="N32"/>
  <c r="N20"/>
  <c r="O45"/>
  <c r="O37"/>
  <c r="O29"/>
  <c r="O21"/>
  <c r="L47"/>
  <c r="K37"/>
  <c r="O48"/>
  <c r="O40"/>
  <c r="O32"/>
  <c r="O24"/>
  <c r="K40"/>
  <c r="K32"/>
  <c r="K24"/>
  <c r="N28"/>
  <c r="N24"/>
  <c r="O41"/>
  <c r="O33"/>
  <c r="O25"/>
  <c r="L19"/>
  <c r="K45"/>
  <c r="K41"/>
  <c r="K33"/>
  <c r="K29"/>
  <c r="K25"/>
  <c r="K21"/>
  <c r="M47"/>
  <c r="M19"/>
  <c r="N41"/>
  <c r="N37"/>
  <c r="N33"/>
  <c r="N21"/>
  <c r="O46"/>
  <c r="O42"/>
  <c r="O38"/>
  <c r="O34"/>
  <c r="O30"/>
  <c r="O26"/>
  <c r="O22"/>
  <c r="L48"/>
  <c r="L44"/>
  <c r="L40"/>
  <c r="L36"/>
  <c r="L32"/>
  <c r="L28"/>
  <c r="L24"/>
  <c r="L20"/>
  <c r="K46"/>
  <c r="K42"/>
  <c r="K38"/>
  <c r="K34"/>
  <c r="K30"/>
  <c r="K26"/>
  <c r="K22"/>
  <c r="O47"/>
  <c r="O43"/>
  <c r="O39"/>
  <c r="O35"/>
  <c r="O31"/>
  <c r="O27"/>
  <c r="O23"/>
  <c r="O19"/>
  <c r="L45"/>
  <c r="L41"/>
  <c r="L37"/>
  <c r="L33"/>
  <c r="L29"/>
  <c r="L25"/>
  <c r="L21"/>
  <c r="K47"/>
  <c r="K43"/>
  <c r="K39"/>
  <c r="K35"/>
  <c r="K31"/>
  <c r="K27"/>
  <c r="K23"/>
  <c r="K19"/>
  <c r="J55"/>
  <c r="H55"/>
  <c r="G55"/>
  <c r="F55"/>
  <c r="E18"/>
  <c r="E16"/>
  <c r="E17"/>
  <c r="E15"/>
  <c r="E14"/>
  <c r="E13"/>
  <c r="E12"/>
  <c r="E10"/>
  <c r="E11"/>
  <c r="E9"/>
  <c r="E8"/>
  <c r="E7"/>
  <c r="E6"/>
  <c r="E5"/>
  <c r="E4"/>
  <c r="E3"/>
  <c r="Q48"/>
  <c r="Q44"/>
  <c r="Q43"/>
  <c r="Q38"/>
  <c r="Q37"/>
  <c r="Q34"/>
  <c r="Q33"/>
  <c r="Q30"/>
  <c r="Q27"/>
  <c r="Q23"/>
  <c r="Q21"/>
  <c r="Q16"/>
  <c r="Q15"/>
  <c r="Q13"/>
  <c r="Q11"/>
  <c r="Q8"/>
  <c r="Q7"/>
  <c r="F6" i="4" l="1"/>
  <c r="N6" i="3"/>
  <c r="K6"/>
  <c r="O6"/>
  <c r="M6"/>
  <c r="L6"/>
  <c r="N11"/>
  <c r="K11"/>
  <c r="O11"/>
  <c r="M11"/>
  <c r="L11"/>
  <c r="N14"/>
  <c r="K14"/>
  <c r="O14"/>
  <c r="M14"/>
  <c r="L14"/>
  <c r="N18"/>
  <c r="K18"/>
  <c r="O18"/>
  <c r="L18"/>
  <c r="M18"/>
  <c r="M5"/>
  <c r="L5"/>
  <c r="N5"/>
  <c r="K5"/>
  <c r="O5"/>
  <c r="M9"/>
  <c r="L9"/>
  <c r="N9"/>
  <c r="K9"/>
  <c r="O9"/>
  <c r="M13"/>
  <c r="L13"/>
  <c r="N13"/>
  <c r="K13"/>
  <c r="O13"/>
  <c r="M16"/>
  <c r="L16"/>
  <c r="N16"/>
  <c r="K16"/>
  <c r="O16"/>
  <c r="M4"/>
  <c r="L4"/>
  <c r="N4"/>
  <c r="K4"/>
  <c r="O4"/>
  <c r="M8"/>
  <c r="L8"/>
  <c r="N8"/>
  <c r="K8"/>
  <c r="O8"/>
  <c r="M12"/>
  <c r="L12"/>
  <c r="N12"/>
  <c r="K12"/>
  <c r="O12"/>
  <c r="M17"/>
  <c r="L17"/>
  <c r="N17"/>
  <c r="O17"/>
  <c r="K17"/>
  <c r="M3"/>
  <c r="L3"/>
  <c r="N3"/>
  <c r="O3"/>
  <c r="K3"/>
  <c r="N7"/>
  <c r="K7"/>
  <c r="O7"/>
  <c r="M7"/>
  <c r="L7"/>
  <c r="N10"/>
  <c r="K10"/>
  <c r="O10"/>
  <c r="M10"/>
  <c r="L10"/>
  <c r="N15"/>
  <c r="K15"/>
  <c r="O15"/>
  <c r="M15"/>
  <c r="L15"/>
  <c r="E55"/>
  <c r="Q47"/>
  <c r="Q4"/>
  <c r="Q19"/>
  <c r="Q22"/>
  <c r="Q25"/>
  <c r="Q28"/>
  <c r="Q3"/>
  <c r="Q24"/>
  <c r="Q12"/>
  <c r="Q5"/>
  <c r="Q9"/>
  <c r="Q14"/>
  <c r="Q26"/>
  <c r="Q31"/>
  <c r="Q10"/>
  <c r="Q18"/>
  <c r="Q29"/>
  <c r="Q32"/>
  <c r="Q36"/>
  <c r="Q40"/>
  <c r="Q46"/>
  <c r="Q6"/>
  <c r="Q17"/>
  <c r="Q20"/>
  <c r="Q35"/>
  <c r="Q39"/>
  <c r="Q45"/>
  <c r="K55" l="1"/>
  <c r="M55"/>
  <c r="L55"/>
  <c r="N55"/>
  <c r="O55"/>
  <c r="F210" i="2"/>
  <c r="F207"/>
  <c r="F194"/>
  <c r="F188"/>
  <c r="F185"/>
  <c r="F178"/>
  <c r="F169"/>
  <c r="F165"/>
  <c r="F162"/>
  <c r="F159"/>
  <c r="F138"/>
  <c r="F119"/>
  <c r="F84"/>
  <c r="F81"/>
  <c r="F78"/>
  <c r="F73"/>
  <c r="F70"/>
  <c r="F67"/>
  <c r="F7"/>
  <c r="F84" i="1"/>
  <c r="F81"/>
  <c r="F78"/>
  <c r="F75"/>
  <c r="F71"/>
  <c r="F68"/>
  <c r="F64"/>
  <c r="F44"/>
  <c r="F40"/>
  <c r="F33"/>
  <c r="F20"/>
  <c r="F16"/>
  <c r="F7"/>
  <c r="O71" i="2"/>
  <c r="O76"/>
  <c r="O74"/>
  <c r="O79"/>
  <c r="O82"/>
  <c r="E67"/>
  <c r="O69"/>
  <c r="O220" l="1"/>
  <c r="E214" s="1"/>
  <c r="F214" s="1"/>
  <c r="O219"/>
  <c r="O215"/>
  <c r="O209"/>
  <c r="O198"/>
  <c r="O204"/>
  <c r="O202"/>
  <c r="O200"/>
  <c r="S39" i="1"/>
  <c r="O192" i="2"/>
  <c r="O189"/>
  <c r="O190" s="1"/>
  <c r="E188" s="1"/>
  <c r="O186"/>
  <c r="O176"/>
  <c r="O174"/>
  <c r="O172"/>
  <c r="O170"/>
  <c r="O183"/>
  <c r="O181"/>
  <c r="O179"/>
  <c r="S17" i="1"/>
  <c r="O166" i="2"/>
  <c r="O167" s="1"/>
  <c r="E165" s="1"/>
  <c r="O163"/>
  <c r="O164" s="1"/>
  <c r="E162" s="1"/>
  <c r="O160"/>
  <c r="O161" s="1"/>
  <c r="E159" s="1"/>
  <c r="O156"/>
  <c r="O154"/>
  <c r="O152"/>
  <c r="O148"/>
  <c r="O146"/>
  <c r="O143"/>
  <c r="O141"/>
  <c r="O139"/>
  <c r="O136"/>
  <c r="O134"/>
  <c r="O132"/>
  <c r="O130"/>
  <c r="O128"/>
  <c r="O126"/>
  <c r="O124"/>
  <c r="O122"/>
  <c r="O120"/>
  <c r="O117"/>
  <c r="O115"/>
  <c r="O113"/>
  <c r="O111"/>
  <c r="O109"/>
  <c r="O107"/>
  <c r="O105"/>
  <c r="O103"/>
  <c r="O101"/>
  <c r="O99"/>
  <c r="O97"/>
  <c r="O95"/>
  <c r="O93"/>
  <c r="O91"/>
  <c r="O89"/>
  <c r="O87"/>
  <c r="O85"/>
  <c r="E73"/>
  <c r="O205" l="1"/>
  <c r="E197" s="1"/>
  <c r="F197" s="1"/>
  <c r="O184"/>
  <c r="E178" s="1"/>
  <c r="O177"/>
  <c r="E169" s="1"/>
  <c r="O137"/>
  <c r="E119" s="1"/>
  <c r="O118"/>
  <c r="E84" s="1"/>
  <c r="O53" l="1"/>
  <c r="S61" i="1"/>
  <c r="O49" i="2"/>
  <c r="O47"/>
  <c r="O42"/>
  <c r="O28"/>
  <c r="O40"/>
  <c r="O38"/>
  <c r="O36"/>
  <c r="O34"/>
  <c r="O32"/>
  <c r="O30"/>
  <c r="O26"/>
  <c r="O24"/>
  <c r="O22"/>
  <c r="O20"/>
  <c r="O18"/>
  <c r="O16"/>
  <c r="O14"/>
  <c r="O12"/>
  <c r="O10"/>
  <c r="O8"/>
  <c r="O54" l="1"/>
  <c r="E44" s="1"/>
  <c r="F44" s="1"/>
  <c r="O43"/>
  <c r="E7" s="1"/>
  <c r="E221"/>
  <c r="D221"/>
  <c r="F221"/>
  <c r="E213"/>
  <c r="D213"/>
  <c r="F213"/>
  <c r="D206"/>
  <c r="O196"/>
  <c r="E194" s="1"/>
  <c r="O193"/>
  <c r="E191" s="1"/>
  <c r="F191" s="1"/>
  <c r="O187"/>
  <c r="E185" s="1"/>
  <c r="E168"/>
  <c r="D168"/>
  <c r="D158"/>
  <c r="D6" s="1"/>
  <c r="O157"/>
  <c r="E145" s="1"/>
  <c r="F145" s="1"/>
  <c r="O144"/>
  <c r="E138" s="1"/>
  <c r="O83"/>
  <c r="E81" s="1"/>
  <c r="O80"/>
  <c r="E78" s="1"/>
  <c r="O72"/>
  <c r="E70" s="1"/>
  <c r="E206" l="1"/>
  <c r="G56"/>
  <c r="G61" s="1"/>
  <c r="O61" s="1"/>
  <c r="F206"/>
  <c r="F168"/>
  <c r="E84" i="1"/>
  <c r="E81"/>
  <c r="E78"/>
  <c r="E75"/>
  <c r="E71"/>
  <c r="E68"/>
  <c r="E64"/>
  <c r="E40"/>
  <c r="S90"/>
  <c r="V85"/>
  <c r="S89"/>
  <c r="S87"/>
  <c r="S82"/>
  <c r="S83" s="1"/>
  <c r="S80"/>
  <c r="S77"/>
  <c r="S73"/>
  <c r="S70"/>
  <c r="S66"/>
  <c r="S59"/>
  <c r="S57"/>
  <c r="S55"/>
  <c r="S53"/>
  <c r="S51"/>
  <c r="S49"/>
  <c r="S47"/>
  <c r="S45"/>
  <c r="E33"/>
  <c r="S42"/>
  <c r="G63" i="2" l="1"/>
  <c r="O63" s="1"/>
  <c r="G65"/>
  <c r="O65" s="1"/>
  <c r="O56"/>
  <c r="O57" s="1"/>
  <c r="E55" s="1"/>
  <c r="F55" s="1"/>
  <c r="G59"/>
  <c r="O59" s="1"/>
  <c r="S62" i="1"/>
  <c r="E44" s="1"/>
  <c r="O66" i="2" l="1"/>
  <c r="E58" s="1"/>
  <c r="S30" i="1"/>
  <c r="S28"/>
  <c r="S23"/>
  <c r="S21"/>
  <c r="S24" s="1"/>
  <c r="E20" s="1"/>
  <c r="S14"/>
  <c r="S12"/>
  <c r="S10"/>
  <c r="S8"/>
  <c r="E91"/>
  <c r="F91"/>
  <c r="E74"/>
  <c r="F74"/>
  <c r="E67"/>
  <c r="F67"/>
  <c r="E63"/>
  <c r="F63"/>
  <c r="E43"/>
  <c r="F43"/>
  <c r="F19"/>
  <c r="E158" i="2" l="1"/>
  <c r="E6" s="1"/>
  <c r="Q4" s="1"/>
  <c r="F58"/>
  <c r="F158" s="1"/>
  <c r="F6" s="1"/>
  <c r="S15" i="1"/>
  <c r="E7" s="1"/>
  <c r="E32"/>
  <c r="D91"/>
  <c r="D74"/>
  <c r="D63"/>
  <c r="D43"/>
  <c r="D32"/>
  <c r="D19"/>
  <c r="D6" s="1"/>
  <c r="D67"/>
  <c r="S31"/>
  <c r="E25" s="1"/>
  <c r="F25" s="1"/>
  <c r="F32" s="1"/>
  <c r="F6" s="1"/>
  <c r="S18"/>
  <c r="E16" s="1"/>
  <c r="E19" l="1"/>
  <c r="E6" s="1"/>
</calcChain>
</file>

<file path=xl/sharedStrings.xml><?xml version="1.0" encoding="utf-8"?>
<sst xmlns="http://schemas.openxmlformats.org/spreadsheetml/2006/main" count="591" uniqueCount="398">
  <si>
    <t>과목</t>
  </si>
  <si>
    <t>산출내역</t>
  </si>
  <si>
    <t>관</t>
  </si>
  <si>
    <t>항</t>
  </si>
  <si>
    <t>목</t>
  </si>
  <si>
    <t>증가</t>
    <phoneticPr fontId="2" type="noConversion"/>
  </si>
  <si>
    <t>총계</t>
  </si>
  <si>
    <t>1. 1등급 본인부담금</t>
  </si>
  <si>
    <t>365일</t>
  </si>
  <si>
    <t>2. 2등급 본인부담금</t>
  </si>
  <si>
    <t>3. 3등급 본인부담금</t>
  </si>
  <si>
    <t>4. 4등급 본인부담금</t>
  </si>
  <si>
    <t>*식사재료비 수입</t>
  </si>
  <si>
    <t>소계</t>
  </si>
  <si>
    <t xml:space="preserve">1. 생계비(기초수급자 주,부식비) </t>
  </si>
  <si>
    <t>2. 등급외</t>
  </si>
  <si>
    <t>3명</t>
    <phoneticPr fontId="2" type="noConversion"/>
  </si>
  <si>
    <t>12월</t>
  </si>
  <si>
    <t>2. 자격수당(보조금)</t>
  </si>
  <si>
    <t>15명</t>
  </si>
  <si>
    <t>3. 교대근무수당(보조금)</t>
  </si>
  <si>
    <t>1. 1등급 (일반)</t>
  </si>
  <si>
    <t>2. 2등급 (일반)</t>
  </si>
  <si>
    <t>3. 3등급 (일반)</t>
  </si>
  <si>
    <t>4. 4등급 (일반)</t>
  </si>
  <si>
    <t>1. 1등급 (수급자)</t>
  </si>
  <si>
    <t>2. 2등급 (수급자)</t>
  </si>
  <si>
    <t>3. 3등급 (수급자)</t>
  </si>
  <si>
    <t>4. 4등급 (수급자)</t>
  </si>
  <si>
    <t>5. 장기근속수당</t>
  </si>
  <si>
    <t xml:space="preserve">*법인전입금(후원금) </t>
    <phoneticPr fontId="2" type="noConversion"/>
  </si>
  <si>
    <t>2019년 울산노인의집 세입 명세서</t>
    <phoneticPr fontId="2" type="noConversion"/>
  </si>
  <si>
    <t>예산액</t>
    <phoneticPr fontId="2" type="noConversion"/>
  </si>
  <si>
    <t>2018년 예산</t>
    <phoneticPr fontId="2" type="noConversion"/>
  </si>
  <si>
    <t>2019년 예산</t>
    <phoneticPr fontId="2" type="noConversion"/>
  </si>
  <si>
    <t>30명</t>
    <phoneticPr fontId="2" type="noConversion"/>
  </si>
  <si>
    <t>2명</t>
    <phoneticPr fontId="2" type="noConversion"/>
  </si>
  <si>
    <t>12명</t>
    <phoneticPr fontId="2" type="noConversion"/>
  </si>
  <si>
    <t>10명</t>
    <phoneticPr fontId="2" type="noConversion"/>
  </si>
  <si>
    <t>6명</t>
    <phoneticPr fontId="2" type="noConversion"/>
  </si>
  <si>
    <t>40명</t>
    <phoneticPr fontId="2" type="noConversion"/>
  </si>
  <si>
    <t>1. 처우개선비</t>
    <phoneticPr fontId="2" type="noConversion"/>
  </si>
  <si>
    <t>11
입소비용
수입</t>
    <phoneticPr fontId="2" type="noConversion"/>
  </si>
  <si>
    <t>112
본인부담금
수입</t>
    <phoneticPr fontId="2" type="noConversion"/>
  </si>
  <si>
    <t>113
식재료비
수입</t>
    <phoneticPr fontId="2" type="noConversion"/>
  </si>
  <si>
    <t>04
보조금
수입</t>
    <phoneticPr fontId="2" type="noConversion"/>
  </si>
  <si>
    <t>41
보조금
수입</t>
    <phoneticPr fontId="2" type="noConversion"/>
  </si>
  <si>
    <t>412
시도
보조금</t>
    <phoneticPr fontId="2" type="noConversion"/>
  </si>
  <si>
    <t>413
시군구
보조금</t>
    <phoneticPr fontId="2" type="noConversion"/>
  </si>
  <si>
    <t>05
후원금
수입</t>
    <phoneticPr fontId="2" type="noConversion"/>
  </si>
  <si>
    <t>51
후원금
수입</t>
    <phoneticPr fontId="2" type="noConversion"/>
  </si>
  <si>
    <t xml:space="preserve">* 사회복지공동모금회 </t>
    <phoneticPr fontId="2" type="noConversion"/>
  </si>
  <si>
    <t xml:space="preserve">*개인 및 단체 지정기탁후금 </t>
    <phoneticPr fontId="2" type="noConversion"/>
  </si>
  <si>
    <t xml:space="preserve">*개인 및 단체 비지정기탁후금 </t>
    <phoneticPr fontId="2" type="noConversion"/>
  </si>
  <si>
    <t>511
지정
후원금</t>
    <phoneticPr fontId="2" type="noConversion"/>
  </si>
  <si>
    <t>512
비지정
후원금</t>
    <phoneticPr fontId="2" type="noConversion"/>
  </si>
  <si>
    <t>06
요양급여
수입</t>
    <phoneticPr fontId="2" type="noConversion"/>
  </si>
  <si>
    <t>61
요양급여
수입</t>
    <phoneticPr fontId="2" type="noConversion"/>
  </si>
  <si>
    <t>611
장기요양
급여수입</t>
    <phoneticPr fontId="2" type="noConversion"/>
  </si>
  <si>
    <t>12명</t>
    <phoneticPr fontId="2" type="noConversion"/>
  </si>
  <si>
    <t>10명</t>
    <phoneticPr fontId="2" type="noConversion"/>
  </si>
  <si>
    <t>12명</t>
    <phoneticPr fontId="2" type="noConversion"/>
  </si>
  <si>
    <t>08
전입금</t>
    <phoneticPr fontId="2" type="noConversion"/>
  </si>
  <si>
    <t>81
전입금</t>
    <phoneticPr fontId="2" type="noConversion"/>
  </si>
  <si>
    <t>812
법인전입금
(후원금)</t>
    <phoneticPr fontId="2" type="noConversion"/>
  </si>
  <si>
    <t xml:space="preserve">*전년도이월금 </t>
    <phoneticPr fontId="2" type="noConversion"/>
  </si>
  <si>
    <t>*전년도이월금(후원금)</t>
    <phoneticPr fontId="2" type="noConversion"/>
  </si>
  <si>
    <t>09
이월금</t>
    <phoneticPr fontId="2" type="noConversion"/>
  </si>
  <si>
    <t>91
이월금</t>
    <phoneticPr fontId="2" type="noConversion"/>
  </si>
  <si>
    <t>911
전년도
이월금</t>
    <phoneticPr fontId="2" type="noConversion"/>
  </si>
  <si>
    <t>912
전년도
이월금
(후원금)</t>
    <phoneticPr fontId="2" type="noConversion"/>
  </si>
  <si>
    <t xml:space="preserve">*불용품매각수입 </t>
    <phoneticPr fontId="2" type="noConversion"/>
  </si>
  <si>
    <t xml:space="preserve">*예금이자수입 </t>
    <phoneticPr fontId="2" type="noConversion"/>
  </si>
  <si>
    <t>*직원식재료비수입</t>
    <phoneticPr fontId="2" type="noConversion"/>
  </si>
  <si>
    <t>1101
불용품
매각대</t>
    <phoneticPr fontId="2" type="noConversion"/>
  </si>
  <si>
    <t>1012
예금이자
이자수입</t>
    <phoneticPr fontId="2" type="noConversion"/>
  </si>
  <si>
    <t>1013
직원
식재료비
수입</t>
    <phoneticPr fontId="2" type="noConversion"/>
  </si>
  <si>
    <t>10
잡수입</t>
    <phoneticPr fontId="2" type="noConversion"/>
  </si>
  <si>
    <t>101
잡수입</t>
    <phoneticPr fontId="2" type="noConversion"/>
  </si>
  <si>
    <t xml:space="preserve">*잡수입                                                                      </t>
    <phoneticPr fontId="2" type="noConversion"/>
  </si>
  <si>
    <t xml:space="preserve">*촉탁진료 본인부담금                                                    </t>
    <phoneticPr fontId="2" type="noConversion"/>
  </si>
  <si>
    <t xml:space="preserve">*사회복지사 실습비                                              </t>
    <phoneticPr fontId="2" type="noConversion"/>
  </si>
  <si>
    <t>1014
기타
잡수입</t>
    <phoneticPr fontId="2" type="noConversion"/>
  </si>
  <si>
    <t>2019.01.01.~2019.12.31</t>
    <phoneticPr fontId="2" type="noConversion"/>
  </si>
  <si>
    <t xml:space="preserve">이수화학 프로그램 </t>
    <phoneticPr fontId="2" type="noConversion"/>
  </si>
  <si>
    <t>난방비 지원</t>
    <phoneticPr fontId="2" type="noConversion"/>
  </si>
  <si>
    <t>설명절 지원금</t>
    <phoneticPr fontId="2" type="noConversion"/>
  </si>
  <si>
    <t>44명</t>
    <phoneticPr fontId="2" type="noConversion"/>
  </si>
  <si>
    <t>50,000원</t>
    <phoneticPr fontId="2" type="noConversion"/>
  </si>
  <si>
    <t>12월</t>
    <phoneticPr fontId="2" type="noConversion"/>
  </si>
  <si>
    <t>120,000원</t>
    <phoneticPr fontId="2" type="noConversion"/>
  </si>
  <si>
    <t>20명</t>
    <phoneticPr fontId="2" type="noConversion"/>
  </si>
  <si>
    <t>100,000 원</t>
    <phoneticPr fontId="2" type="noConversion"/>
  </si>
  <si>
    <t>증감</t>
    <phoneticPr fontId="2" type="noConversion"/>
  </si>
  <si>
    <t>1.시설장</t>
  </si>
  <si>
    <t>1명</t>
  </si>
  <si>
    <t>2.사무국장</t>
  </si>
  <si>
    <t>3.사무원</t>
  </si>
  <si>
    <t>4.관리인</t>
  </si>
  <si>
    <t>5.사회복지사</t>
  </si>
  <si>
    <t>2명</t>
  </si>
  <si>
    <t>6.간호(조무)사</t>
  </si>
  <si>
    <t>3명</t>
  </si>
  <si>
    <t>7.물리치료사</t>
  </si>
  <si>
    <t>8.영양사</t>
  </si>
  <si>
    <t>2명</t>
    <phoneticPr fontId="2" type="noConversion"/>
  </si>
  <si>
    <t>*처우개선비(시수당)</t>
  </si>
  <si>
    <t>30명</t>
    <phoneticPr fontId="2" type="noConversion"/>
  </si>
  <si>
    <t>*교대근무수당(시수당)</t>
  </si>
  <si>
    <t>*자격수당(시수당)</t>
  </si>
  <si>
    <t>*장기근속수당</t>
  </si>
  <si>
    <t>*퇴직적립금</t>
  </si>
  <si>
    <t>*국민연금</t>
  </si>
  <si>
    <t>*고용보험</t>
  </si>
  <si>
    <t>*산재보험</t>
  </si>
  <si>
    <t>*회식비</t>
  </si>
  <si>
    <t>*종사자힐링캠프</t>
  </si>
  <si>
    <t>2회</t>
  </si>
  <si>
    <t>*유관기관 업무회의비</t>
  </si>
  <si>
    <t>*시설장 직책보조비</t>
  </si>
  <si>
    <t>*사무국장 직책보조비</t>
  </si>
  <si>
    <t>*시설운영위회, 후원단체봉사 회의비</t>
    <phoneticPr fontId="2" type="noConversion"/>
  </si>
  <si>
    <t>4회</t>
  </si>
  <si>
    <t>*출장여비</t>
  </si>
  <si>
    <t>4회</t>
    <phoneticPr fontId="2" type="noConversion"/>
  </si>
  <si>
    <t>*사무용품비</t>
  </si>
  <si>
    <t>*집기구입비</t>
  </si>
  <si>
    <t>*각종수수료(렌탈)</t>
  </si>
  <si>
    <t>*운송비</t>
  </si>
  <si>
    <t>*소규모수선비</t>
  </si>
  <si>
    <t>*일반오물수거료</t>
  </si>
  <si>
    <t>*음식물수거료</t>
  </si>
  <si>
    <t>*전기안전관리 유지보수료</t>
    <phoneticPr fontId="2" type="noConversion"/>
  </si>
  <si>
    <t>*엘리베이터 유지보수료</t>
    <phoneticPr fontId="2" type="noConversion"/>
  </si>
  <si>
    <t>*LCMS 사용료</t>
    <phoneticPr fontId="2" type="noConversion"/>
  </si>
  <si>
    <t>*각종검사수수료</t>
  </si>
  <si>
    <t>*우편료</t>
  </si>
  <si>
    <t>*TV시청, 전화료</t>
  </si>
  <si>
    <t>*전기료</t>
  </si>
  <si>
    <t>*상하수도료</t>
  </si>
  <si>
    <t>*자동차세</t>
  </si>
  <si>
    <t>2대</t>
  </si>
  <si>
    <t>*협회,협의회비</t>
  </si>
  <si>
    <t>*화재,가스보험료</t>
  </si>
  <si>
    <t>1회</t>
  </si>
  <si>
    <t>*자동차보험료</t>
  </si>
  <si>
    <t>*배상책임보험(전문직,시설배상)</t>
  </si>
  <si>
    <t>*차량유류대</t>
  </si>
  <si>
    <t>*차량정비유지비</t>
  </si>
  <si>
    <t>4분기</t>
  </si>
  <si>
    <t>*차량소모품비</t>
  </si>
  <si>
    <t>*종사자 급량비</t>
  </si>
  <si>
    <t>*기타운영비</t>
  </si>
  <si>
    <t>*시설 환경 개선</t>
  </si>
  <si>
    <t>*비품(장비)구입비</t>
  </si>
  <si>
    <t>*건물수선비</t>
  </si>
  <si>
    <t>*주·부식비(기초생활보호대상자)</t>
  </si>
  <si>
    <t>*주·부식비(일반대상자)</t>
  </si>
  <si>
    <t>*특별부식비</t>
  </si>
  <si>
    <t>*세면용품비(세면도구등)</t>
  </si>
  <si>
    <t>*위생용품비(기저귀등)</t>
  </si>
  <si>
    <t>*기타용품</t>
  </si>
  <si>
    <t>*피복비</t>
  </si>
  <si>
    <t>4분기</t>
    <phoneticPr fontId="2" type="noConversion"/>
  </si>
  <si>
    <t>*의료소모품비</t>
  </si>
  <si>
    <t>12월</t>
    <phoneticPr fontId="2" type="noConversion"/>
  </si>
  <si>
    <t>*취사연료비</t>
  </si>
  <si>
    <t>*신체,인지,기능회복 프로그램</t>
  </si>
  <si>
    <t>*차입금금상환금</t>
  </si>
  <si>
    <t>*차입금이자지급금</t>
  </si>
  <si>
    <t>*기타잡지출</t>
  </si>
  <si>
    <t>*촉탁진료 본인부담금</t>
  </si>
  <si>
    <t>2019년 울산노인의집 세출 명세서</t>
    <phoneticPr fontId="2" type="noConversion"/>
  </si>
  <si>
    <t>2019.01.01.~2019.12.31</t>
    <phoneticPr fontId="2" type="noConversion"/>
  </si>
  <si>
    <t>2019년 예산액</t>
    <phoneticPr fontId="2" type="noConversion"/>
  </si>
  <si>
    <t>01
입소자
부담금
수입</t>
    <phoneticPr fontId="2" type="noConversion"/>
  </si>
  <si>
    <t>01
사무비</t>
    <phoneticPr fontId="2" type="noConversion"/>
  </si>
  <si>
    <t>11
인건비</t>
    <phoneticPr fontId="2" type="noConversion"/>
  </si>
  <si>
    <t>111
급여</t>
    <phoneticPr fontId="2" type="noConversion"/>
  </si>
  <si>
    <t>2명</t>
    <phoneticPr fontId="2" type="noConversion"/>
  </si>
  <si>
    <t>9,조리사</t>
    <phoneticPr fontId="2" type="noConversion"/>
  </si>
  <si>
    <t>3명</t>
    <phoneticPr fontId="2" type="noConversion"/>
  </si>
  <si>
    <t>10.위생원</t>
    <phoneticPr fontId="2" type="noConversion"/>
  </si>
  <si>
    <t>11-1.요양보호사(1호봉)</t>
    <phoneticPr fontId="2" type="noConversion"/>
  </si>
  <si>
    <t>11-2.요양보호사(2호봉)</t>
    <phoneticPr fontId="2" type="noConversion"/>
  </si>
  <si>
    <t>7명</t>
    <phoneticPr fontId="2" type="noConversion"/>
  </si>
  <si>
    <t>11-3.요양보호사(3호봉)</t>
    <phoneticPr fontId="2" type="noConversion"/>
  </si>
  <si>
    <t>1명</t>
    <phoneticPr fontId="2" type="noConversion"/>
  </si>
  <si>
    <t>11-4.요양보호사(5호봉)</t>
    <phoneticPr fontId="2" type="noConversion"/>
  </si>
  <si>
    <t>11-5.요양보호사(6호봉)</t>
    <phoneticPr fontId="2" type="noConversion"/>
  </si>
  <si>
    <t>11-6.요양보호사(7호봉)</t>
    <phoneticPr fontId="2" type="noConversion"/>
  </si>
  <si>
    <t>4명</t>
    <phoneticPr fontId="2" type="noConversion"/>
  </si>
  <si>
    <t>11-7.요양보호사(10호봉)</t>
    <phoneticPr fontId="2" type="noConversion"/>
  </si>
  <si>
    <t>7명</t>
    <phoneticPr fontId="2" type="noConversion"/>
  </si>
  <si>
    <t>11-8.요양보호사(기간제)</t>
    <phoneticPr fontId="2" type="noConversion"/>
  </si>
  <si>
    <t>6명</t>
    <phoneticPr fontId="2" type="noConversion"/>
  </si>
  <si>
    <t>15명</t>
    <phoneticPr fontId="2" type="noConversion"/>
  </si>
  <si>
    <t>112
각종수당</t>
    <phoneticPr fontId="2" type="noConversion"/>
  </si>
  <si>
    <t>20명</t>
    <phoneticPr fontId="2" type="noConversion"/>
  </si>
  <si>
    <t>*연장근로수당, 야간근무수당</t>
    <phoneticPr fontId="2" type="noConversion"/>
  </si>
  <si>
    <t>/12</t>
    <phoneticPr fontId="2" type="noConversion"/>
  </si>
  <si>
    <t>*국민건강보험료+장기요양급여</t>
    <phoneticPr fontId="2" type="noConversion"/>
  </si>
  <si>
    <t>115
퇴직금및
퇴직적립금</t>
    <phoneticPr fontId="2" type="noConversion"/>
  </si>
  <si>
    <t>116
사회보험
부담금</t>
    <phoneticPr fontId="2" type="noConversion"/>
  </si>
  <si>
    <t>12
업무
추진비</t>
    <phoneticPr fontId="2" type="noConversion"/>
  </si>
  <si>
    <t>121
기관
운영비</t>
    <phoneticPr fontId="2" type="noConversion"/>
  </si>
  <si>
    <t>122
직책
보조비</t>
    <phoneticPr fontId="2" type="noConversion"/>
  </si>
  <si>
    <t>123
회의비</t>
    <phoneticPr fontId="2" type="noConversion"/>
  </si>
  <si>
    <t>13
운영비</t>
    <phoneticPr fontId="2" type="noConversion"/>
  </si>
  <si>
    <t>131
여비</t>
    <phoneticPr fontId="2" type="noConversion"/>
  </si>
  <si>
    <t>132
수용비 및 수수료</t>
    <phoneticPr fontId="2" type="noConversion"/>
  </si>
  <si>
    <t>*노사자문수수료</t>
    <phoneticPr fontId="2" type="noConversion"/>
  </si>
  <si>
    <t>12월</t>
    <phoneticPr fontId="2" type="noConversion"/>
  </si>
  <si>
    <t>*방역대금</t>
    <phoneticPr fontId="2" type="noConversion"/>
  </si>
  <si>
    <t>*의료폐기물수집운반수수료</t>
    <phoneticPr fontId="2" type="noConversion"/>
  </si>
  <si>
    <t>4분기</t>
    <phoneticPr fontId="2" type="noConversion"/>
  </si>
  <si>
    <t>*회계기장수수료</t>
    <phoneticPr fontId="2" type="noConversion"/>
  </si>
  <si>
    <t>*소방시설업무대행수수료</t>
    <phoneticPr fontId="2" type="noConversion"/>
  </si>
  <si>
    <t>*구인광고료</t>
    <phoneticPr fontId="2" type="noConversion"/>
  </si>
  <si>
    <t>4회</t>
    <phoneticPr fontId="2" type="noConversion"/>
  </si>
  <si>
    <t>133
공공요금
및
제세공과금</t>
    <phoneticPr fontId="2" type="noConversion"/>
  </si>
  <si>
    <t>1대</t>
    <phoneticPr fontId="2" type="noConversion"/>
  </si>
  <si>
    <t>135
차량비</t>
    <phoneticPr fontId="2" type="noConversion"/>
  </si>
  <si>
    <t>137
기타
운영비</t>
    <phoneticPr fontId="2" type="noConversion"/>
  </si>
  <si>
    <t>44명</t>
    <phoneticPr fontId="2" type="noConversion"/>
  </si>
  <si>
    <t>*직원건강진단비</t>
    <phoneticPr fontId="2" type="noConversion"/>
  </si>
  <si>
    <t>44명</t>
    <phoneticPr fontId="2" type="noConversion"/>
  </si>
  <si>
    <t>*직원원복</t>
    <phoneticPr fontId="2" type="noConversion"/>
  </si>
  <si>
    <t>44명</t>
    <phoneticPr fontId="2" type="noConversion"/>
  </si>
  <si>
    <t>4식</t>
    <phoneticPr fontId="2" type="noConversion"/>
  </si>
  <si>
    <t>4식</t>
    <phoneticPr fontId="2" type="noConversion"/>
  </si>
  <si>
    <t>02
재산
조성비</t>
    <phoneticPr fontId="2" type="noConversion"/>
  </si>
  <si>
    <t>21
시설비</t>
    <phoneticPr fontId="2" type="noConversion"/>
  </si>
  <si>
    <t>211
시설비</t>
    <phoneticPr fontId="2" type="noConversion"/>
  </si>
  <si>
    <t>212
자산
취득비</t>
    <phoneticPr fontId="2" type="noConversion"/>
  </si>
  <si>
    <t>213
시설장비
유지비</t>
    <phoneticPr fontId="2" type="noConversion"/>
  </si>
  <si>
    <t>03
사업비</t>
    <phoneticPr fontId="2" type="noConversion"/>
  </si>
  <si>
    <t>31
운영비</t>
    <phoneticPr fontId="2" type="noConversion"/>
  </si>
  <si>
    <t>311
생계비</t>
    <phoneticPr fontId="2" type="noConversion"/>
  </si>
  <si>
    <t>40명</t>
    <phoneticPr fontId="2" type="noConversion"/>
  </si>
  <si>
    <t>40명</t>
    <phoneticPr fontId="2" type="noConversion"/>
  </si>
  <si>
    <t>2회</t>
    <phoneticPr fontId="2" type="noConversion"/>
  </si>
  <si>
    <t>*월동김장비</t>
    <phoneticPr fontId="2" type="noConversion"/>
  </si>
  <si>
    <t>1회</t>
    <phoneticPr fontId="2" type="noConversion"/>
  </si>
  <si>
    <t>312
수용기관
경비</t>
    <phoneticPr fontId="2" type="noConversion"/>
  </si>
  <si>
    <t>12회</t>
    <phoneticPr fontId="2" type="noConversion"/>
  </si>
  <si>
    <t>313
의류비</t>
    <phoneticPr fontId="2" type="noConversion"/>
  </si>
  <si>
    <t>314
의료비</t>
    <phoneticPr fontId="2" type="noConversion"/>
  </si>
  <si>
    <t>318
특별급식비</t>
    <phoneticPr fontId="2" type="noConversion"/>
  </si>
  <si>
    <t xml:space="preserve">*간식비 </t>
    <phoneticPr fontId="2" type="noConversion"/>
  </si>
  <si>
    <t>319
연료비</t>
    <phoneticPr fontId="2" type="noConversion"/>
  </si>
  <si>
    <t>*공동모금회(이수화학)</t>
    <phoneticPr fontId="2" type="noConversion"/>
  </si>
  <si>
    <t>*공동모금회(설,추석)</t>
    <phoneticPr fontId="2" type="noConversion"/>
  </si>
  <si>
    <t>*공동모금회(난방비)</t>
    <phoneticPr fontId="2" type="noConversion"/>
  </si>
  <si>
    <t>33
프로그램
사업비</t>
    <phoneticPr fontId="2" type="noConversion"/>
  </si>
  <si>
    <t>331
프로그램
사업비</t>
    <phoneticPr fontId="2" type="noConversion"/>
  </si>
  <si>
    <t>06
상환금</t>
    <phoneticPr fontId="2" type="noConversion"/>
  </si>
  <si>
    <t>61
부채
상환금</t>
    <phoneticPr fontId="2" type="noConversion"/>
  </si>
  <si>
    <t>611
원금
상환금</t>
    <phoneticPr fontId="2" type="noConversion"/>
  </si>
  <si>
    <t>612
이자
지불금</t>
    <phoneticPr fontId="2" type="noConversion"/>
  </si>
  <si>
    <t>07
잡지출</t>
    <phoneticPr fontId="2" type="noConversion"/>
  </si>
  <si>
    <t>71
잡지출</t>
    <phoneticPr fontId="2" type="noConversion"/>
  </si>
  <si>
    <t>711
잡지출</t>
    <phoneticPr fontId="2" type="noConversion"/>
  </si>
  <si>
    <t>12회</t>
    <phoneticPr fontId="2" type="noConversion"/>
  </si>
  <si>
    <t>*소송경비,보상금, 사례금</t>
    <phoneticPr fontId="2" type="noConversion"/>
  </si>
  <si>
    <t>117
기타
후생경비</t>
    <phoneticPr fontId="2" type="noConversion"/>
  </si>
  <si>
    <t>*후생경비</t>
    <phoneticPr fontId="2" type="noConversion"/>
  </si>
  <si>
    <t>인건비
구분</t>
    <phoneticPr fontId="2" type="noConversion"/>
  </si>
  <si>
    <t>ooo</t>
    <phoneticPr fontId="2" type="noConversion"/>
  </si>
  <si>
    <t>46명</t>
    <phoneticPr fontId="2" type="noConversion"/>
  </si>
  <si>
    <t>11명</t>
    <phoneticPr fontId="2" type="noConversion"/>
  </si>
  <si>
    <t>연장야간
근로수당</t>
    <phoneticPr fontId="17" type="noConversion"/>
  </si>
  <si>
    <t>건 강 
장기요양</t>
    <phoneticPr fontId="17" type="noConversion"/>
  </si>
  <si>
    <t>임직원 보수 일람표(인건비명세서)</t>
    <phoneticPr fontId="2" type="noConversion"/>
  </si>
  <si>
    <t>순번</t>
    <phoneticPr fontId="2" type="noConversion"/>
  </si>
  <si>
    <t>직종</t>
    <phoneticPr fontId="2" type="noConversion"/>
  </si>
  <si>
    <t>성명</t>
    <phoneticPr fontId="2" type="noConversion"/>
  </si>
  <si>
    <t>급여</t>
    <phoneticPr fontId="17" type="noConversion"/>
  </si>
  <si>
    <t>소
계</t>
    <phoneticPr fontId="2" type="noConversion"/>
  </si>
  <si>
    <t>직접 인건비 계</t>
    <phoneticPr fontId="2" type="noConversion"/>
  </si>
  <si>
    <t>간접 인건비 계</t>
    <phoneticPr fontId="2" type="noConversion"/>
  </si>
  <si>
    <t>총 인건비 계</t>
    <phoneticPr fontId="2" type="noConversion"/>
  </si>
  <si>
    <t>교대근무
수    당</t>
    <phoneticPr fontId="2" type="noConversion"/>
  </si>
  <si>
    <t>자격수당</t>
    <phoneticPr fontId="17" type="noConversion"/>
  </si>
  <si>
    <t>처  우
개선수당</t>
    <phoneticPr fontId="17" type="noConversion"/>
  </si>
  <si>
    <t>장기근속
장려금</t>
    <phoneticPr fontId="2" type="noConversion"/>
  </si>
  <si>
    <t>국 민
연 금</t>
    <phoneticPr fontId="17" type="noConversion"/>
  </si>
  <si>
    <t>고 용
보 험</t>
    <phoneticPr fontId="17" type="noConversion"/>
  </si>
  <si>
    <t>산 재  
보 험</t>
    <phoneticPr fontId="17" type="noConversion"/>
  </si>
  <si>
    <t>퇴  직 
적립금</t>
    <phoneticPr fontId="17" type="noConversion"/>
  </si>
  <si>
    <t>시설장</t>
    <phoneticPr fontId="17" type="noConversion"/>
  </si>
  <si>
    <t>김외숙</t>
    <phoneticPr fontId="17" type="noConversion"/>
  </si>
  <si>
    <t>사무국장</t>
    <phoneticPr fontId="17" type="noConversion"/>
  </si>
  <si>
    <t>박용진</t>
    <phoneticPr fontId="17" type="noConversion"/>
  </si>
  <si>
    <t>사무원</t>
    <phoneticPr fontId="2" type="noConversion"/>
  </si>
  <si>
    <t>배병권</t>
    <phoneticPr fontId="2" type="noConversion"/>
  </si>
  <si>
    <t>관리인</t>
    <phoneticPr fontId="17" type="noConversion"/>
  </si>
  <si>
    <t>김종헌</t>
    <phoneticPr fontId="17" type="noConversion"/>
  </si>
  <si>
    <t>사회복지사</t>
    <phoneticPr fontId="2" type="noConversion"/>
  </si>
  <si>
    <t>김신영</t>
    <phoneticPr fontId="2" type="noConversion"/>
  </si>
  <si>
    <t>윤진미</t>
    <phoneticPr fontId="2" type="noConversion"/>
  </si>
  <si>
    <t>간호조무사</t>
    <phoneticPr fontId="17" type="noConversion"/>
  </si>
  <si>
    <t>하수정</t>
    <phoneticPr fontId="17" type="noConversion"/>
  </si>
  <si>
    <t>권정혜</t>
    <phoneticPr fontId="2" type="noConversion"/>
  </si>
  <si>
    <t>최영옥</t>
    <phoneticPr fontId="2" type="noConversion"/>
  </si>
  <si>
    <t>물리치료사</t>
    <phoneticPr fontId="2" type="noConversion"/>
  </si>
  <si>
    <t>배내윤</t>
    <phoneticPr fontId="2" type="noConversion"/>
  </si>
  <si>
    <t>김연미</t>
    <phoneticPr fontId="2" type="noConversion"/>
  </si>
  <si>
    <t>영양사</t>
    <phoneticPr fontId="17" type="noConversion"/>
  </si>
  <si>
    <t>김윤옥</t>
    <phoneticPr fontId="17" type="noConversion"/>
  </si>
  <si>
    <t>조리원</t>
    <phoneticPr fontId="17" type="noConversion"/>
  </si>
  <si>
    <t>강춘도</t>
    <phoneticPr fontId="2" type="noConversion"/>
  </si>
  <si>
    <t>박미진</t>
    <phoneticPr fontId="2" type="noConversion"/>
  </si>
  <si>
    <t>이은경</t>
    <phoneticPr fontId="2" type="noConversion"/>
  </si>
  <si>
    <t>위생원</t>
    <phoneticPr fontId="17" type="noConversion"/>
  </si>
  <si>
    <t>강경자</t>
    <phoneticPr fontId="17" type="noConversion"/>
  </si>
  <si>
    <t>요양보호사</t>
    <phoneticPr fontId="2" type="noConversion"/>
  </si>
  <si>
    <t>최경옥</t>
    <phoneticPr fontId="17" type="noConversion"/>
  </si>
  <si>
    <t>요양보호사</t>
    <phoneticPr fontId="17" type="noConversion"/>
  </si>
  <si>
    <t>박현숙</t>
    <phoneticPr fontId="2" type="noConversion"/>
  </si>
  <si>
    <t>권애숙</t>
    <phoneticPr fontId="2" type="noConversion"/>
  </si>
  <si>
    <t>김양자</t>
    <phoneticPr fontId="2" type="noConversion"/>
  </si>
  <si>
    <t>유수경</t>
    <phoneticPr fontId="2" type="noConversion"/>
  </si>
  <si>
    <t>추명숙</t>
    <phoneticPr fontId="2" type="noConversion"/>
  </si>
  <si>
    <t>배외숙</t>
    <phoneticPr fontId="2" type="noConversion"/>
  </si>
  <si>
    <t>서관수</t>
    <phoneticPr fontId="2" type="noConversion"/>
  </si>
  <si>
    <t>황금희</t>
    <phoneticPr fontId="2" type="noConversion"/>
  </si>
  <si>
    <t>김세연</t>
    <phoneticPr fontId="2" type="noConversion"/>
  </si>
  <si>
    <t>홍민지</t>
    <phoneticPr fontId="2" type="noConversion"/>
  </si>
  <si>
    <t>조명숙</t>
    <phoneticPr fontId="2" type="noConversion"/>
  </si>
  <si>
    <t>김정애</t>
    <phoneticPr fontId="2" type="noConversion"/>
  </si>
  <si>
    <t>박지해</t>
    <phoneticPr fontId="2" type="noConversion"/>
  </si>
  <si>
    <t>정윤경</t>
    <phoneticPr fontId="2" type="noConversion"/>
  </si>
  <si>
    <t>김영은</t>
    <phoneticPr fontId="2" type="noConversion"/>
  </si>
  <si>
    <t>박정희</t>
    <phoneticPr fontId="2" type="noConversion"/>
  </si>
  <si>
    <t>이호심</t>
    <phoneticPr fontId="2" type="noConversion"/>
  </si>
  <si>
    <t>전옥이</t>
    <phoneticPr fontId="2" type="noConversion"/>
  </si>
  <si>
    <t>문석호</t>
    <phoneticPr fontId="2" type="noConversion"/>
  </si>
  <si>
    <t>하귀애</t>
    <phoneticPr fontId="2" type="noConversion"/>
  </si>
  <si>
    <t>박규리</t>
    <phoneticPr fontId="2" type="noConversion"/>
  </si>
  <si>
    <t>정명귀</t>
    <phoneticPr fontId="17" type="noConversion"/>
  </si>
  <si>
    <t>이정희</t>
    <phoneticPr fontId="2" type="noConversion"/>
  </si>
  <si>
    <t>김영애</t>
    <phoneticPr fontId="2" type="noConversion"/>
  </si>
  <si>
    <t>김소숙</t>
    <phoneticPr fontId="2" type="noConversion"/>
  </si>
  <si>
    <t>김연옥</t>
    <phoneticPr fontId="2" type="noConversion"/>
  </si>
  <si>
    <t>김진희</t>
    <phoneticPr fontId="2" type="noConversion"/>
  </si>
  <si>
    <t>세입</t>
  </si>
  <si>
    <t>세출</t>
  </si>
  <si>
    <t>예산액</t>
  </si>
  <si>
    <t>증감</t>
  </si>
  <si>
    <t>(A)</t>
  </si>
  <si>
    <t>(B)</t>
  </si>
  <si>
    <t>금액</t>
  </si>
  <si>
    <t>(B)-(A)</t>
  </si>
  <si>
    <t>2019년 울산노인의집 예산 총괄표</t>
    <phoneticPr fontId="2" type="noConversion"/>
  </si>
  <si>
    <t>111
본인부담금수입</t>
    <phoneticPr fontId="2" type="noConversion"/>
  </si>
  <si>
    <t>113
식재료비수입</t>
    <phoneticPr fontId="2" type="noConversion"/>
  </si>
  <si>
    <t>511
지정후원금</t>
    <phoneticPr fontId="2" type="noConversion"/>
  </si>
  <si>
    <t>512
비지정후원금</t>
    <phoneticPr fontId="2" type="noConversion"/>
  </si>
  <si>
    <t>06
요양급여수입</t>
    <phoneticPr fontId="2" type="noConversion"/>
  </si>
  <si>
    <t>61
요양급여수입</t>
    <phoneticPr fontId="2" type="noConversion"/>
  </si>
  <si>
    <t>611
장기요양급여</t>
    <phoneticPr fontId="2" type="noConversion"/>
  </si>
  <si>
    <t>412
시도보조금
수입</t>
    <phoneticPr fontId="2" type="noConversion"/>
  </si>
  <si>
    <t>413
시군구
보조금</t>
    <phoneticPr fontId="2" type="noConversion"/>
  </si>
  <si>
    <t>811
법인전입금</t>
    <phoneticPr fontId="2" type="noConversion"/>
  </si>
  <si>
    <t>911
전년도이월금</t>
    <phoneticPr fontId="2" type="noConversion"/>
  </si>
  <si>
    <t>912
전년도이월금(후원금)</t>
    <phoneticPr fontId="2" type="noConversion"/>
  </si>
  <si>
    <t>1101
불용품매각대</t>
    <phoneticPr fontId="2" type="noConversion"/>
  </si>
  <si>
    <t>1012
예금이자수입</t>
    <phoneticPr fontId="2" type="noConversion"/>
  </si>
  <si>
    <t>1013
직원식재료수입</t>
    <phoneticPr fontId="2" type="noConversion"/>
  </si>
  <si>
    <t>1014
기타잡수입</t>
    <phoneticPr fontId="2" type="noConversion"/>
  </si>
  <si>
    <t>항</t>
    <phoneticPr fontId="2" type="noConversion"/>
  </si>
  <si>
    <t>2018예산</t>
    <phoneticPr fontId="2" type="noConversion"/>
  </si>
  <si>
    <t>2019예산</t>
    <phoneticPr fontId="2" type="noConversion"/>
  </si>
  <si>
    <t>111
기본급</t>
    <phoneticPr fontId="2" type="noConversion"/>
  </si>
  <si>
    <t>115
퇴직적립금</t>
    <phoneticPr fontId="2" type="noConversion"/>
  </si>
  <si>
    <t>116
사회보험</t>
    <phoneticPr fontId="2" type="noConversion"/>
  </si>
  <si>
    <t>117
기타후생경비</t>
    <phoneticPr fontId="2" type="noConversion"/>
  </si>
  <si>
    <t>121
기관운영비</t>
    <phoneticPr fontId="2" type="noConversion"/>
  </si>
  <si>
    <t>122
직책보조비</t>
    <phoneticPr fontId="2" type="noConversion"/>
  </si>
  <si>
    <t>12
업무추진비</t>
    <phoneticPr fontId="2" type="noConversion"/>
  </si>
  <si>
    <t>132
수용비및
수수료</t>
    <phoneticPr fontId="2" type="noConversion"/>
  </si>
  <si>
    <t>133
공공요금
제세공과금</t>
    <phoneticPr fontId="2" type="noConversion"/>
  </si>
  <si>
    <t>137
기타운영비</t>
    <phoneticPr fontId="2" type="noConversion"/>
  </si>
  <si>
    <t>01
사무비</t>
    <phoneticPr fontId="2" type="noConversion"/>
  </si>
  <si>
    <t>212
자산취득비</t>
    <phoneticPr fontId="2" type="noConversion"/>
  </si>
  <si>
    <t>213
시설장비
유지비</t>
    <phoneticPr fontId="2" type="noConversion"/>
  </si>
  <si>
    <t>312
수용기관경비</t>
    <phoneticPr fontId="2" type="noConversion"/>
  </si>
  <si>
    <t>313
의류비</t>
    <phoneticPr fontId="2" type="noConversion"/>
  </si>
  <si>
    <t>33
프로그램
사업비</t>
    <phoneticPr fontId="2" type="noConversion"/>
  </si>
  <si>
    <t>331
프로그램
사업비</t>
    <phoneticPr fontId="2" type="noConversion"/>
  </si>
  <si>
    <t>611
원금상환금</t>
    <phoneticPr fontId="2" type="noConversion"/>
  </si>
  <si>
    <t>612
이자지불금</t>
    <phoneticPr fontId="2" type="noConversion"/>
  </si>
  <si>
    <t>06
상환금</t>
    <phoneticPr fontId="2" type="noConversion"/>
  </si>
  <si>
    <t>61
부채상환금</t>
    <phoneticPr fontId="2" type="noConversion"/>
  </si>
  <si>
    <t>07
잡지출</t>
    <phoneticPr fontId="2" type="noConversion"/>
  </si>
  <si>
    <t>71
잡지출</t>
    <phoneticPr fontId="2" type="noConversion"/>
  </si>
  <si>
    <t>711
잡지출</t>
    <phoneticPr fontId="2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</si>
</sst>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0;[Red]0"/>
    <numFmt numFmtId="177" formatCode="#,##0_ "/>
  </numFmts>
  <fonts count="30">
    <font>
      <sz val="11"/>
      <color theme="1"/>
      <name val="맑은 고딕"/>
      <family val="2"/>
      <charset val="129"/>
      <scheme val="minor"/>
    </font>
    <font>
      <b/>
      <sz val="20"/>
      <color rgb="FF000000"/>
      <name val="굴림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굴림"/>
      <family val="3"/>
      <charset val="129"/>
    </font>
    <font>
      <sz val="10"/>
      <color rgb="FF000000"/>
      <name val="굴림"/>
      <family val="3"/>
      <charset val="129"/>
    </font>
    <font>
      <b/>
      <sz val="11"/>
      <color rgb="FF000000"/>
      <name val="굴림"/>
      <family val="3"/>
      <charset val="129"/>
    </font>
    <font>
      <b/>
      <sz val="10"/>
      <color rgb="FF000000"/>
      <name val="굴림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rgb="FF000000"/>
      <name val="굴림체"/>
      <family val="3"/>
      <charset val="129"/>
    </font>
    <font>
      <sz val="10"/>
      <color theme="1"/>
      <name val="굴림체"/>
      <family val="3"/>
      <charset val="129"/>
    </font>
    <font>
      <sz val="10"/>
      <color rgb="FF000000"/>
      <name val="굴림체"/>
      <family val="3"/>
      <charset val="129"/>
    </font>
    <font>
      <b/>
      <sz val="11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b/>
      <sz val="10"/>
      <color theme="1"/>
      <name val="굴림체"/>
      <family val="3"/>
      <charset val="129"/>
    </font>
    <font>
      <sz val="8"/>
      <name val="돋움"/>
      <family val="3"/>
      <charset val="129"/>
    </font>
    <font>
      <b/>
      <sz val="20"/>
      <color theme="1"/>
      <name val="굴림"/>
      <family val="3"/>
      <charset val="129"/>
    </font>
    <font>
      <sz val="9"/>
      <name val="굴림"/>
      <family val="3"/>
      <charset val="129"/>
    </font>
    <font>
      <sz val="9"/>
      <color theme="1"/>
      <name val="굴림"/>
      <family val="3"/>
      <charset val="129"/>
    </font>
    <font>
      <sz val="9"/>
      <color rgb="FF0070C0"/>
      <name val="굴림"/>
      <family val="3"/>
      <charset val="129"/>
    </font>
    <font>
      <sz val="9"/>
      <color theme="2" tint="-0.89999084444715716"/>
      <name val="굴림"/>
      <family val="3"/>
      <charset val="129"/>
    </font>
    <font>
      <b/>
      <sz val="9"/>
      <name val="굴림"/>
      <family val="3"/>
      <charset val="129"/>
    </font>
    <font>
      <b/>
      <sz val="9"/>
      <color theme="2" tint="-0.89999084444715716"/>
      <name val="굴림"/>
      <family val="3"/>
      <charset val="129"/>
    </font>
    <font>
      <b/>
      <sz val="9"/>
      <color theme="1"/>
      <name val="굴림"/>
      <family val="3"/>
      <charset val="129"/>
    </font>
    <font>
      <b/>
      <sz val="16"/>
      <color rgb="FF000000"/>
      <name val="굴림"/>
      <family val="3"/>
      <charset val="129"/>
    </font>
    <font>
      <sz val="8"/>
      <color rgb="FF000000"/>
      <name val="굴림"/>
      <family val="3"/>
      <charset val="129"/>
    </font>
    <font>
      <sz val="9"/>
      <color rgb="FF000000"/>
      <name val="굴림"/>
      <family val="3"/>
      <charset val="129"/>
    </font>
    <font>
      <b/>
      <sz val="9"/>
      <color rgb="FF000000"/>
      <name val="굴림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6D6D6"/>
        <bgColor indexed="64"/>
      </patternFill>
    </fill>
  </fills>
  <borders count="1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medium">
        <color indexed="64"/>
      </right>
      <top style="thick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medium">
        <color indexed="64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 style="thick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ck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0" fillId="0" borderId="0" applyFont="0" applyFill="0" applyBorder="0" applyAlignment="0" applyProtection="0">
      <alignment vertical="center"/>
    </xf>
  </cellStyleXfs>
  <cellXfs count="51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3" fontId="4" fillId="0" borderId="20" xfId="0" applyNumberFormat="1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3" fontId="6" fillId="4" borderId="24" xfId="0" applyNumberFormat="1" applyFont="1" applyFill="1" applyBorder="1" applyAlignment="1">
      <alignment horizontal="right" vertical="center" wrapText="1"/>
    </xf>
    <xf numFmtId="0" fontId="4" fillId="0" borderId="28" xfId="0" applyFont="1" applyBorder="1" applyAlignment="1">
      <alignment horizontal="right" vertical="center" wrapText="1"/>
    </xf>
    <xf numFmtId="0" fontId="6" fillId="5" borderId="10" xfId="0" applyFont="1" applyFill="1" applyBorder="1" applyAlignment="1">
      <alignment horizontal="center" vertical="center" wrapText="1"/>
    </xf>
    <xf numFmtId="3" fontId="6" fillId="5" borderId="10" xfId="0" applyNumberFormat="1" applyFont="1" applyFill="1" applyBorder="1" applyAlignment="1">
      <alignment horizontal="right" vertical="center" wrapText="1"/>
    </xf>
    <xf numFmtId="0" fontId="8" fillId="0" borderId="0" xfId="0" applyFont="1">
      <alignment vertical="center"/>
    </xf>
    <xf numFmtId="3" fontId="6" fillId="4" borderId="20" xfId="0" applyNumberFormat="1" applyFont="1" applyFill="1" applyBorder="1" applyAlignment="1">
      <alignment horizontal="right" vertical="center" wrapText="1"/>
    </xf>
    <xf numFmtId="0" fontId="6" fillId="5" borderId="37" xfId="0" applyFont="1" applyFill="1" applyBorder="1" applyAlignment="1">
      <alignment horizontal="center" vertical="center" wrapText="1"/>
    </xf>
    <xf numFmtId="3" fontId="6" fillId="5" borderId="37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4" fillId="0" borderId="19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3" fontId="6" fillId="6" borderId="20" xfId="0" applyNumberFormat="1" applyFont="1" applyFill="1" applyBorder="1" applyAlignment="1">
      <alignment horizontal="right" vertical="center" wrapText="1"/>
    </xf>
    <xf numFmtId="0" fontId="6" fillId="2" borderId="51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3" fontId="6" fillId="3" borderId="55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3" fontId="6" fillId="7" borderId="20" xfId="0" applyNumberFormat="1" applyFont="1" applyFill="1" applyBorder="1" applyAlignment="1">
      <alignment horizontal="right" vertical="center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3" fontId="6" fillId="4" borderId="24" xfId="0" applyNumberFormat="1" applyFont="1" applyFill="1" applyBorder="1" applyAlignment="1">
      <alignment vertical="center" wrapText="1"/>
    </xf>
    <xf numFmtId="3" fontId="6" fillId="6" borderId="23" xfId="0" applyNumberFormat="1" applyFont="1" applyFill="1" applyBorder="1" applyAlignment="1">
      <alignment vertical="center" wrapText="1"/>
    </xf>
    <xf numFmtId="0" fontId="7" fillId="0" borderId="23" xfId="0" applyFont="1" applyBorder="1" applyAlignment="1">
      <alignment vertical="center"/>
    </xf>
    <xf numFmtId="3" fontId="6" fillId="7" borderId="24" xfId="0" applyNumberFormat="1" applyFont="1" applyFill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0" fillId="0" borderId="28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6" borderId="23" xfId="0" applyFont="1" applyFill="1" applyBorder="1" applyAlignment="1">
      <alignment vertical="center" wrapText="1"/>
    </xf>
    <xf numFmtId="3" fontId="6" fillId="6" borderId="0" xfId="0" applyNumberFormat="1" applyFont="1" applyFill="1" applyBorder="1" applyAlignment="1">
      <alignment horizontal="right" vertical="center" wrapText="1"/>
    </xf>
    <xf numFmtId="0" fontId="4" fillId="0" borderId="19" xfId="0" applyFont="1" applyBorder="1" applyAlignment="1">
      <alignment horizontal="center" vertical="center" wrapText="1"/>
    </xf>
    <xf numFmtId="41" fontId="7" fillId="0" borderId="20" xfId="1" applyFont="1" applyBorder="1" applyAlignment="1">
      <alignment horizontal="right" vertical="center"/>
    </xf>
    <xf numFmtId="41" fontId="4" fillId="0" borderId="20" xfId="1" applyFont="1" applyBorder="1" applyAlignment="1">
      <alignment horizontal="right" vertical="center" wrapText="1"/>
    </xf>
    <xf numFmtId="41" fontId="8" fillId="7" borderId="24" xfId="0" applyNumberFormat="1" applyFont="1" applyFill="1" applyBorder="1" applyAlignment="1">
      <alignment vertical="center"/>
    </xf>
    <xf numFmtId="3" fontId="4" fillId="6" borderId="20" xfId="0" applyNumberFormat="1" applyFont="1" applyFill="1" applyBorder="1" applyAlignment="1">
      <alignment horizontal="righ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0" xfId="0" applyFont="1" applyBorder="1" applyAlignment="1">
      <alignment vertical="center" wrapText="1"/>
    </xf>
    <xf numFmtId="0" fontId="4" fillId="0" borderId="61" xfId="0" applyFont="1" applyBorder="1" applyAlignment="1">
      <alignment vertical="center" wrapText="1"/>
    </xf>
    <xf numFmtId="41" fontId="6" fillId="7" borderId="62" xfId="0" applyNumberFormat="1" applyFont="1" applyFill="1" applyBorder="1" applyAlignment="1">
      <alignment vertical="center" wrapText="1"/>
    </xf>
    <xf numFmtId="41" fontId="7" fillId="0" borderId="0" xfId="0" applyNumberFormat="1" applyFont="1">
      <alignment vertical="center"/>
    </xf>
    <xf numFmtId="0" fontId="0" fillId="0" borderId="0" xfId="0" applyBorder="1" applyAlignment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5" fillId="8" borderId="66" xfId="0" applyFont="1" applyFill="1" applyBorder="1" applyAlignment="1">
      <alignment horizontal="center" vertical="center" wrapText="1"/>
    </xf>
    <xf numFmtId="0" fontId="15" fillId="8" borderId="37" xfId="0" applyFont="1" applyFill="1" applyBorder="1" applyAlignment="1">
      <alignment horizontal="center" vertical="center" wrapText="1"/>
    </xf>
    <xf numFmtId="0" fontId="15" fillId="8" borderId="38" xfId="0" applyFont="1" applyFill="1" applyBorder="1" applyAlignment="1">
      <alignment horizontal="center" vertical="center" wrapText="1"/>
    </xf>
    <xf numFmtId="0" fontId="15" fillId="8" borderId="67" xfId="0" applyFont="1" applyFill="1" applyBorder="1" applyAlignment="1">
      <alignment horizontal="center" vertical="center" wrapText="1"/>
    </xf>
    <xf numFmtId="3" fontId="15" fillId="3" borderId="71" xfId="0" applyNumberFormat="1" applyFont="1" applyFill="1" applyBorder="1" applyAlignment="1">
      <alignment horizontal="right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3" fontId="13" fillId="0" borderId="20" xfId="0" applyNumberFormat="1" applyFont="1" applyBorder="1" applyAlignment="1">
      <alignment horizontal="right" vertical="center" wrapText="1"/>
    </xf>
    <xf numFmtId="0" fontId="13" fillId="0" borderId="20" xfId="0" applyFont="1" applyBorder="1" applyAlignment="1">
      <alignment vertical="center" wrapText="1"/>
    </xf>
    <xf numFmtId="3" fontId="15" fillId="8" borderId="24" xfId="0" applyNumberFormat="1" applyFont="1" applyFill="1" applyBorder="1" applyAlignment="1">
      <alignment horizontal="right" vertical="center" wrapText="1"/>
    </xf>
    <xf numFmtId="0" fontId="13" fillId="0" borderId="20" xfId="0" applyFont="1" applyBorder="1" applyAlignment="1">
      <alignment horizontal="justify" vertical="center" wrapText="1"/>
    </xf>
    <xf numFmtId="0" fontId="13" fillId="0" borderId="20" xfId="0" applyFont="1" applyBorder="1" applyAlignment="1">
      <alignment horizontal="right" vertical="center" wrapText="1"/>
    </xf>
    <xf numFmtId="3" fontId="15" fillId="4" borderId="20" xfId="0" applyNumberFormat="1" applyFont="1" applyFill="1" applyBorder="1" applyAlignment="1">
      <alignment horizontal="right" vertical="center" wrapText="1"/>
    </xf>
    <xf numFmtId="0" fontId="13" fillId="0" borderId="28" xfId="0" applyFont="1" applyBorder="1" applyAlignment="1">
      <alignment horizontal="right" vertical="center" wrapText="1"/>
    </xf>
    <xf numFmtId="10" fontId="13" fillId="0" borderId="0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3" fontId="15" fillId="8" borderId="20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justify" vertical="center" wrapText="1"/>
    </xf>
    <xf numFmtId="0" fontId="13" fillId="0" borderId="28" xfId="0" applyFont="1" applyBorder="1" applyAlignment="1">
      <alignment horizontal="justify" vertical="center" wrapText="1"/>
    </xf>
    <xf numFmtId="0" fontId="15" fillId="5" borderId="10" xfId="0" applyFont="1" applyFill="1" applyBorder="1" applyAlignment="1">
      <alignment horizontal="center" vertical="center" wrapText="1"/>
    </xf>
    <xf numFmtId="3" fontId="15" fillId="5" borderId="10" xfId="0" applyNumberFormat="1" applyFont="1" applyFill="1" applyBorder="1" applyAlignment="1">
      <alignment horizontal="right" vertical="center" wrapText="1"/>
    </xf>
    <xf numFmtId="0" fontId="16" fillId="0" borderId="0" xfId="0" applyFont="1">
      <alignment vertical="center"/>
    </xf>
    <xf numFmtId="0" fontId="13" fillId="0" borderId="23" xfId="0" applyFont="1" applyBorder="1" applyAlignment="1">
      <alignment horizontal="justify" vertical="center" wrapText="1"/>
    </xf>
    <xf numFmtId="0" fontId="13" fillId="0" borderId="16" xfId="0" applyFont="1" applyBorder="1" applyAlignment="1">
      <alignment horizontal="right" vertical="center" wrapText="1"/>
    </xf>
    <xf numFmtId="41" fontId="13" fillId="0" borderId="0" xfId="1" applyFont="1" applyBorder="1" applyAlignment="1">
      <alignment horizontal="center" vertical="center" wrapText="1"/>
    </xf>
    <xf numFmtId="41" fontId="13" fillId="0" borderId="20" xfId="1" applyFont="1" applyBorder="1" applyAlignment="1">
      <alignment horizontal="center" vertical="center" wrapText="1"/>
    </xf>
    <xf numFmtId="41" fontId="15" fillId="4" borderId="24" xfId="1" applyFont="1" applyFill="1" applyBorder="1" applyAlignment="1">
      <alignment horizontal="right" vertical="center" wrapText="1"/>
    </xf>
    <xf numFmtId="0" fontId="13" fillId="0" borderId="16" xfId="0" applyFont="1" applyBorder="1" applyAlignment="1">
      <alignment horizontal="justify" vertical="center" wrapText="1"/>
    </xf>
    <xf numFmtId="0" fontId="13" fillId="0" borderId="28" xfId="0" applyFont="1" applyBorder="1" applyAlignment="1">
      <alignment horizontal="right" vertical="center" wrapText="1"/>
    </xf>
    <xf numFmtId="0" fontId="13" fillId="0" borderId="20" xfId="0" applyFont="1" applyBorder="1" applyAlignment="1">
      <alignment horizontal="right" vertical="center" wrapText="1"/>
    </xf>
    <xf numFmtId="41" fontId="13" fillId="0" borderId="0" xfId="1" applyFont="1" applyBorder="1" applyAlignment="1">
      <alignment horizontal="justify" vertical="center" wrapText="1"/>
    </xf>
    <xf numFmtId="41" fontId="13" fillId="0" borderId="20" xfId="1" applyFont="1" applyBorder="1" applyAlignment="1">
      <alignment horizontal="right" vertical="center" wrapText="1"/>
    </xf>
    <xf numFmtId="41" fontId="13" fillId="0" borderId="23" xfId="1" applyFont="1" applyBorder="1" applyAlignment="1">
      <alignment horizontal="justify" vertical="center" wrapText="1"/>
    </xf>
    <xf numFmtId="0" fontId="13" fillId="0" borderId="0" xfId="0" applyFont="1" applyAlignment="1">
      <alignment horizontal="justify" vertical="center"/>
    </xf>
    <xf numFmtId="1" fontId="13" fillId="0" borderId="0" xfId="0" applyNumberFormat="1" applyFont="1" applyBorder="1" applyAlignment="1">
      <alignment horizontal="center" vertical="center" wrapText="1"/>
    </xf>
    <xf numFmtId="0" fontId="13" fillId="0" borderId="0" xfId="1" applyNumberFormat="1" applyFont="1" applyBorder="1" applyAlignment="1">
      <alignment vertical="center" wrapText="1"/>
    </xf>
    <xf numFmtId="3" fontId="15" fillId="6" borderId="20" xfId="0" applyNumberFormat="1" applyFont="1" applyFill="1" applyBorder="1" applyAlignment="1">
      <alignment horizontal="right" vertical="center" wrapText="1"/>
    </xf>
    <xf numFmtId="3" fontId="15" fillId="7" borderId="20" xfId="0" applyNumberFormat="1" applyFont="1" applyFill="1" applyBorder="1" applyAlignment="1">
      <alignment horizontal="right" vertical="center" wrapText="1"/>
    </xf>
    <xf numFmtId="3" fontId="12" fillId="0" borderId="0" xfId="0" applyNumberFormat="1" applyFont="1">
      <alignment vertical="center"/>
    </xf>
    <xf numFmtId="0" fontId="12" fillId="0" borderId="0" xfId="0" applyFont="1" applyAlignment="1">
      <alignment horizontal="right" vertical="center"/>
    </xf>
    <xf numFmtId="177" fontId="0" fillId="0" borderId="0" xfId="0" applyNumberForma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19" fillId="0" borderId="45" xfId="0" applyFont="1" applyBorder="1" applyAlignment="1">
      <alignment horizontal="center" vertical="center"/>
    </xf>
    <xf numFmtId="0" fontId="19" fillId="6" borderId="45" xfId="0" applyFont="1" applyFill="1" applyBorder="1" applyAlignment="1">
      <alignment horizontal="center" vertical="center"/>
    </xf>
    <xf numFmtId="177" fontId="19" fillId="0" borderId="45" xfId="0" applyNumberFormat="1" applyFont="1" applyBorder="1" applyAlignment="1">
      <alignment horizontal="right" vertical="center"/>
    </xf>
    <xf numFmtId="3" fontId="19" fillId="6" borderId="45" xfId="1" applyNumberFormat="1" applyFont="1" applyFill="1" applyBorder="1" applyAlignment="1">
      <alignment horizontal="right" vertical="center"/>
    </xf>
    <xf numFmtId="177" fontId="19" fillId="6" borderId="45" xfId="0" applyNumberFormat="1" applyFont="1" applyFill="1" applyBorder="1" applyAlignment="1">
      <alignment horizontal="right" vertical="center"/>
    </xf>
    <xf numFmtId="3" fontId="19" fillId="6" borderId="45" xfId="1" applyNumberFormat="1" applyFont="1" applyFill="1" applyBorder="1" applyAlignment="1">
      <alignment horizontal="right" vertical="center" wrapText="1"/>
    </xf>
    <xf numFmtId="3" fontId="19" fillId="0" borderId="45" xfId="1" applyNumberFormat="1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 shrinkToFit="1"/>
    </xf>
    <xf numFmtId="41" fontId="19" fillId="0" borderId="45" xfId="1" applyFont="1" applyBorder="1" applyAlignment="1">
      <alignment horizontal="center" vertical="center"/>
    </xf>
    <xf numFmtId="41" fontId="19" fillId="6" borderId="45" xfId="1" applyFont="1" applyFill="1" applyBorder="1" applyAlignment="1">
      <alignment horizontal="center" vertical="center"/>
    </xf>
    <xf numFmtId="3" fontId="20" fillId="6" borderId="45" xfId="1" applyNumberFormat="1" applyFont="1" applyFill="1" applyBorder="1" applyAlignment="1">
      <alignment horizontal="right" vertical="center"/>
    </xf>
    <xf numFmtId="3" fontId="19" fillId="6" borderId="45" xfId="1" applyNumberFormat="1" applyFont="1" applyFill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3" fontId="20" fillId="0" borderId="45" xfId="1" applyNumberFormat="1" applyFont="1" applyBorder="1" applyAlignment="1">
      <alignment horizontal="center" vertical="center"/>
    </xf>
    <xf numFmtId="177" fontId="20" fillId="6" borderId="45" xfId="0" applyNumberFormat="1" applyFont="1" applyFill="1" applyBorder="1" applyAlignment="1">
      <alignment horizontal="right" vertical="center"/>
    </xf>
    <xf numFmtId="3" fontId="20" fillId="0" borderId="0" xfId="1" applyNumberFormat="1" applyFont="1" applyAlignment="1">
      <alignment vertical="center"/>
    </xf>
    <xf numFmtId="3" fontId="20" fillId="0" borderId="0" xfId="1" applyNumberFormat="1" applyFont="1" applyFill="1" applyAlignment="1">
      <alignment vertical="center"/>
    </xf>
    <xf numFmtId="3" fontId="20" fillId="6" borderId="45" xfId="1" applyNumberFormat="1" applyFont="1" applyFill="1" applyBorder="1" applyAlignment="1">
      <alignment horizontal="center" vertical="center"/>
    </xf>
    <xf numFmtId="3" fontId="20" fillId="6" borderId="45" xfId="1" applyNumberFormat="1" applyFont="1" applyFill="1" applyBorder="1" applyAlignment="1">
      <alignment vertical="center"/>
    </xf>
    <xf numFmtId="41" fontId="20" fillId="6" borderId="45" xfId="1" applyFont="1" applyFill="1" applyBorder="1" applyAlignment="1">
      <alignment horizontal="center" vertical="center"/>
    </xf>
    <xf numFmtId="3" fontId="21" fillId="6" borderId="45" xfId="1" applyNumberFormat="1" applyFont="1" applyFill="1" applyBorder="1" applyAlignment="1">
      <alignment horizontal="right" vertical="center"/>
    </xf>
    <xf numFmtId="3" fontId="22" fillId="6" borderId="45" xfId="1" applyNumberFormat="1" applyFont="1" applyFill="1" applyBorder="1" applyAlignment="1">
      <alignment horizontal="right" vertical="center"/>
    </xf>
    <xf numFmtId="0" fontId="22" fillId="0" borderId="45" xfId="0" applyFont="1" applyBorder="1" applyAlignment="1">
      <alignment horizontal="center" vertical="center"/>
    </xf>
    <xf numFmtId="3" fontId="22" fillId="6" borderId="45" xfId="1" applyNumberFormat="1" applyFont="1" applyFill="1" applyBorder="1" applyAlignment="1">
      <alignment horizontal="center" vertical="center"/>
    </xf>
    <xf numFmtId="0" fontId="24" fillId="0" borderId="45" xfId="0" applyFont="1" applyBorder="1" applyAlignment="1">
      <alignment vertical="center"/>
    </xf>
    <xf numFmtId="3" fontId="25" fillId="6" borderId="45" xfId="1" applyNumberFormat="1" applyFont="1" applyFill="1" applyBorder="1" applyAlignment="1">
      <alignment horizontal="right" vertical="center"/>
    </xf>
    <xf numFmtId="3" fontId="24" fillId="6" borderId="45" xfId="1" applyNumberFormat="1" applyFont="1" applyFill="1" applyBorder="1" applyAlignment="1">
      <alignment horizontal="right" vertical="center"/>
    </xf>
    <xf numFmtId="3" fontId="23" fillId="6" borderId="45" xfId="1" applyNumberFormat="1" applyFont="1" applyFill="1" applyBorder="1" applyAlignment="1">
      <alignment horizontal="right" vertical="center"/>
    </xf>
    <xf numFmtId="3" fontId="23" fillId="6" borderId="45" xfId="1" applyNumberFormat="1" applyFont="1" applyFill="1" applyBorder="1" applyAlignment="1">
      <alignment horizontal="right" vertical="center" wrapText="1"/>
    </xf>
    <xf numFmtId="177" fontId="23" fillId="6" borderId="45" xfId="0" applyNumberFormat="1" applyFont="1" applyFill="1" applyBorder="1" applyAlignment="1">
      <alignment horizontal="right" vertical="center"/>
    </xf>
    <xf numFmtId="3" fontId="19" fillId="0" borderId="0" xfId="1" applyNumberFormat="1" applyFont="1" applyAlignment="1">
      <alignment vertical="center"/>
    </xf>
    <xf numFmtId="3" fontId="19" fillId="0" borderId="0" xfId="1" applyNumberFormat="1" applyFont="1" applyFill="1" applyAlignment="1">
      <alignment vertical="center"/>
    </xf>
    <xf numFmtId="3" fontId="19" fillId="6" borderId="0" xfId="1" applyNumberFormat="1" applyFont="1" applyFill="1" applyAlignment="1">
      <alignment vertical="center"/>
    </xf>
    <xf numFmtId="3" fontId="20" fillId="0" borderId="0" xfId="1" applyNumberFormat="1" applyFont="1" applyBorder="1" applyAlignment="1">
      <alignment vertical="center"/>
    </xf>
    <xf numFmtId="3" fontId="20" fillId="0" borderId="0" xfId="1" applyNumberFormat="1" applyFont="1" applyFill="1" applyBorder="1" applyAlignment="1">
      <alignment vertical="center"/>
    </xf>
    <xf numFmtId="3" fontId="22" fillId="0" borderId="0" xfId="1" applyNumberFormat="1" applyFont="1" applyBorder="1" applyAlignment="1">
      <alignment vertical="center"/>
    </xf>
    <xf numFmtId="3" fontId="22" fillId="0" borderId="0" xfId="1" applyNumberFormat="1" applyFont="1" applyFill="1" applyBorder="1" applyAlignment="1">
      <alignment vertical="center"/>
    </xf>
    <xf numFmtId="3" fontId="19" fillId="0" borderId="0" xfId="1" applyNumberFormat="1" applyFont="1" applyBorder="1" applyAlignment="1">
      <alignment vertical="center"/>
    </xf>
    <xf numFmtId="3" fontId="19" fillId="0" borderId="0" xfId="1" applyNumberFormat="1" applyFont="1" applyFill="1" applyBorder="1" applyAlignment="1">
      <alignment vertical="center"/>
    </xf>
    <xf numFmtId="3" fontId="24" fillId="0" borderId="0" xfId="1" applyNumberFormat="1" applyFont="1" applyBorder="1" applyAlignment="1">
      <alignment vertical="center"/>
    </xf>
    <xf numFmtId="3" fontId="23" fillId="0" borderId="0" xfId="1" applyNumberFormat="1" applyFont="1" applyAlignment="1">
      <alignment vertical="center"/>
    </xf>
    <xf numFmtId="3" fontId="24" fillId="0" borderId="0" xfId="1" applyNumberFormat="1" applyFont="1" applyFill="1" applyBorder="1" applyAlignment="1">
      <alignment vertical="center"/>
    </xf>
    <xf numFmtId="0" fontId="25" fillId="0" borderId="0" xfId="0" applyFont="1">
      <alignment vertical="center"/>
    </xf>
    <xf numFmtId="3" fontId="19" fillId="0" borderId="64" xfId="1" applyNumberFormat="1" applyFont="1" applyBorder="1" applyAlignment="1">
      <alignment horizontal="center" vertical="center" wrapText="1"/>
    </xf>
    <xf numFmtId="3" fontId="19" fillId="6" borderId="81" xfId="1" applyNumberFormat="1" applyFont="1" applyFill="1" applyBorder="1" applyAlignment="1">
      <alignment horizontal="right" vertical="center"/>
    </xf>
    <xf numFmtId="3" fontId="23" fillId="6" borderId="81" xfId="1" applyNumberFormat="1" applyFont="1" applyFill="1" applyBorder="1" applyAlignment="1">
      <alignment horizontal="right" vertical="center"/>
    </xf>
    <xf numFmtId="177" fontId="25" fillId="0" borderId="83" xfId="0" applyNumberFormat="1" applyFont="1" applyBorder="1" applyAlignment="1">
      <alignment vertical="center"/>
    </xf>
    <xf numFmtId="177" fontId="25" fillId="0" borderId="84" xfId="0" applyNumberFormat="1" applyFont="1" applyBorder="1" applyAlignment="1">
      <alignment vertical="center"/>
    </xf>
    <xf numFmtId="3" fontId="19" fillId="0" borderId="90" xfId="1" applyNumberFormat="1" applyFont="1" applyBorder="1" applyAlignment="1">
      <alignment horizontal="center" vertical="center" wrapText="1"/>
    </xf>
    <xf numFmtId="0" fontId="22" fillId="0" borderId="91" xfId="0" applyFont="1" applyBorder="1" applyAlignment="1">
      <alignment horizontal="center" vertical="center"/>
    </xf>
    <xf numFmtId="3" fontId="22" fillId="6" borderId="91" xfId="1" applyNumberFormat="1" applyFont="1" applyFill="1" applyBorder="1" applyAlignment="1">
      <alignment horizontal="center" vertical="center"/>
    </xf>
    <xf numFmtId="177" fontId="19" fillId="0" borderId="91" xfId="0" applyNumberFormat="1" applyFont="1" applyBorder="1" applyAlignment="1">
      <alignment horizontal="right" vertical="center"/>
    </xf>
    <xf numFmtId="3" fontId="20" fillId="6" borderId="91" xfId="1" applyNumberFormat="1" applyFont="1" applyFill="1" applyBorder="1" applyAlignment="1">
      <alignment horizontal="right" vertical="center"/>
    </xf>
    <xf numFmtId="3" fontId="22" fillId="6" borderId="91" xfId="1" applyNumberFormat="1" applyFont="1" applyFill="1" applyBorder="1" applyAlignment="1">
      <alignment horizontal="right" vertical="center"/>
    </xf>
    <xf numFmtId="3" fontId="19" fillId="6" borderId="91" xfId="1" applyNumberFormat="1" applyFont="1" applyFill="1" applyBorder="1" applyAlignment="1">
      <alignment horizontal="right" vertical="center"/>
    </xf>
    <xf numFmtId="3" fontId="19" fillId="6" borderId="91" xfId="1" applyNumberFormat="1" applyFont="1" applyFill="1" applyBorder="1" applyAlignment="1">
      <alignment horizontal="right" vertical="center" wrapText="1"/>
    </xf>
    <xf numFmtId="177" fontId="19" fillId="6" borderId="91" xfId="0" applyNumberFormat="1" applyFont="1" applyFill="1" applyBorder="1" applyAlignment="1">
      <alignment horizontal="right" vertical="center"/>
    </xf>
    <xf numFmtId="3" fontId="19" fillId="6" borderId="95" xfId="1" applyNumberFormat="1" applyFont="1" applyFill="1" applyBorder="1" applyAlignment="1">
      <alignment horizontal="right" vertical="center"/>
    </xf>
    <xf numFmtId="177" fontId="24" fillId="0" borderId="86" xfId="0" applyNumberFormat="1" applyFont="1" applyBorder="1" applyAlignment="1">
      <alignment vertical="center"/>
    </xf>
    <xf numFmtId="177" fontId="24" fillId="0" borderId="87" xfId="0" applyNumberFormat="1" applyFont="1" applyBorder="1" applyAlignment="1">
      <alignment vertical="center"/>
    </xf>
    <xf numFmtId="3" fontId="19" fillId="0" borderId="63" xfId="1" applyNumberFormat="1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/>
    </xf>
    <xf numFmtId="0" fontId="19" fillId="6" borderId="49" xfId="0" applyFont="1" applyFill="1" applyBorder="1" applyAlignment="1">
      <alignment horizontal="center" vertical="center"/>
    </xf>
    <xf numFmtId="177" fontId="19" fillId="0" borderId="49" xfId="0" applyNumberFormat="1" applyFont="1" applyBorder="1" applyAlignment="1">
      <alignment horizontal="right" vertical="center"/>
    </xf>
    <xf numFmtId="3" fontId="19" fillId="6" borderId="49" xfId="1" applyNumberFormat="1" applyFont="1" applyFill="1" applyBorder="1" applyAlignment="1">
      <alignment horizontal="right" vertical="center"/>
    </xf>
    <xf numFmtId="177" fontId="19" fillId="6" borderId="49" xfId="0" applyNumberFormat="1" applyFont="1" applyFill="1" applyBorder="1" applyAlignment="1">
      <alignment horizontal="right" vertical="center"/>
    </xf>
    <xf numFmtId="3" fontId="19" fillId="6" borderId="49" xfId="1" applyNumberFormat="1" applyFont="1" applyFill="1" applyBorder="1" applyAlignment="1">
      <alignment horizontal="right" vertical="center" wrapText="1"/>
    </xf>
    <xf numFmtId="3" fontId="19" fillId="6" borderId="85" xfId="1" applyNumberFormat="1" applyFont="1" applyFill="1" applyBorder="1" applyAlignment="1">
      <alignment horizontal="right" vertical="center"/>
    </xf>
    <xf numFmtId="0" fontId="20" fillId="0" borderId="96" xfId="0" applyFont="1" applyBorder="1">
      <alignment vertical="center"/>
    </xf>
    <xf numFmtId="3" fontId="19" fillId="0" borderId="97" xfId="1" applyNumberFormat="1" applyFont="1" applyBorder="1" applyAlignment="1">
      <alignment horizontal="center" vertical="center" wrapText="1"/>
    </xf>
    <xf numFmtId="3" fontId="19" fillId="0" borderId="97" xfId="1" applyNumberFormat="1" applyFont="1" applyBorder="1" applyAlignment="1">
      <alignment horizontal="center" vertical="center"/>
    </xf>
    <xf numFmtId="3" fontId="19" fillId="0" borderId="98" xfId="1" applyNumberFormat="1" applyFont="1" applyBorder="1" applyAlignment="1">
      <alignment horizontal="center" vertical="center" wrapText="1"/>
    </xf>
    <xf numFmtId="0" fontId="28" fillId="5" borderId="72" xfId="0" applyFont="1" applyFill="1" applyBorder="1" applyAlignment="1">
      <alignment horizontal="center" vertical="center" wrapText="1"/>
    </xf>
    <xf numFmtId="3" fontId="29" fillId="3" borderId="45" xfId="0" applyNumberFormat="1" applyFont="1" applyFill="1" applyBorder="1" applyAlignment="1">
      <alignment horizontal="right" vertical="center" wrapText="1"/>
    </xf>
    <xf numFmtId="3" fontId="29" fillId="5" borderId="25" xfId="0" applyNumberFormat="1" applyFont="1" applyFill="1" applyBorder="1" applyAlignment="1">
      <alignment horizontal="right" vertical="center" wrapText="1"/>
    </xf>
    <xf numFmtId="3" fontId="29" fillId="5" borderId="26" xfId="0" applyNumberFormat="1" applyFont="1" applyFill="1" applyBorder="1" applyAlignment="1">
      <alignment horizontal="right" vertical="center" wrapText="1"/>
    </xf>
    <xf numFmtId="0" fontId="29" fillId="5" borderId="45" xfId="0" applyFont="1" applyFill="1" applyBorder="1" applyAlignment="1">
      <alignment vertical="center" wrapText="1"/>
    </xf>
    <xf numFmtId="3" fontId="29" fillId="5" borderId="45" xfId="0" applyNumberFormat="1" applyFont="1" applyFill="1" applyBorder="1" applyAlignment="1">
      <alignment vertical="center" wrapText="1"/>
    </xf>
    <xf numFmtId="0" fontId="29" fillId="5" borderId="45" xfId="0" applyFont="1" applyFill="1" applyBorder="1" applyAlignment="1">
      <alignment horizontal="center" vertical="center" wrapText="1"/>
    </xf>
    <xf numFmtId="41" fontId="29" fillId="5" borderId="42" xfId="0" applyNumberFormat="1" applyFont="1" applyFill="1" applyBorder="1" applyAlignment="1">
      <alignment vertical="center" wrapText="1"/>
    </xf>
    <xf numFmtId="41" fontId="29" fillId="5" borderId="18" xfId="0" applyNumberFormat="1" applyFont="1" applyFill="1" applyBorder="1" applyAlignment="1">
      <alignment vertical="center" wrapText="1"/>
    </xf>
    <xf numFmtId="0" fontId="29" fillId="8" borderId="45" xfId="0" applyFont="1" applyFill="1" applyBorder="1" applyAlignment="1">
      <alignment horizontal="center" vertical="center" wrapText="1"/>
    </xf>
    <xf numFmtId="0" fontId="29" fillId="8" borderId="45" xfId="0" applyFont="1" applyFill="1" applyBorder="1" applyAlignment="1">
      <alignment horizontal="center" vertical="center" wrapText="1"/>
    </xf>
    <xf numFmtId="0" fontId="29" fillId="5" borderId="100" xfId="0" applyFont="1" applyFill="1" applyBorder="1" applyAlignment="1">
      <alignment vertical="center" wrapText="1"/>
    </xf>
    <xf numFmtId="0" fontId="29" fillId="5" borderId="104" xfId="0" applyFont="1" applyFill="1" applyBorder="1" applyAlignment="1">
      <alignment vertical="center" wrapText="1"/>
    </xf>
    <xf numFmtId="41" fontId="29" fillId="5" borderId="102" xfId="0" applyNumberFormat="1" applyFont="1" applyFill="1" applyBorder="1" applyAlignment="1">
      <alignment vertical="center" wrapText="1"/>
    </xf>
    <xf numFmtId="0" fontId="29" fillId="5" borderId="19" xfId="0" applyFont="1" applyFill="1" applyBorder="1" applyAlignment="1">
      <alignment vertical="center" wrapText="1"/>
    </xf>
    <xf numFmtId="0" fontId="29" fillId="5" borderId="42" xfId="0" applyFont="1" applyFill="1" applyBorder="1" applyAlignment="1">
      <alignment vertical="center" wrapText="1"/>
    </xf>
    <xf numFmtId="41" fontId="29" fillId="5" borderId="18" xfId="1" applyFont="1" applyFill="1" applyBorder="1" applyAlignment="1">
      <alignment vertical="center" wrapText="1"/>
    </xf>
    <xf numFmtId="0" fontId="29" fillId="8" borderId="81" xfId="0" applyFont="1" applyFill="1" applyBorder="1" applyAlignment="1">
      <alignment horizontal="center" vertical="center" wrapText="1"/>
    </xf>
    <xf numFmtId="3" fontId="29" fillId="3" borderId="81" xfId="0" applyNumberFormat="1" applyFont="1" applyFill="1" applyBorder="1" applyAlignment="1">
      <alignment horizontal="right" vertical="center" wrapText="1"/>
    </xf>
    <xf numFmtId="3" fontId="29" fillId="5" borderId="81" xfId="0" applyNumberFormat="1" applyFont="1" applyFill="1" applyBorder="1" applyAlignment="1">
      <alignment vertical="center" wrapText="1"/>
    </xf>
    <xf numFmtId="41" fontId="29" fillId="5" borderId="111" xfId="0" applyNumberFormat="1" applyFont="1" applyFill="1" applyBorder="1" applyAlignment="1">
      <alignment vertical="center" wrapText="1"/>
    </xf>
    <xf numFmtId="41" fontId="29" fillId="5" borderId="112" xfId="0" applyNumberFormat="1" applyFont="1" applyFill="1" applyBorder="1" applyAlignment="1">
      <alignment vertical="center" wrapText="1"/>
    </xf>
    <xf numFmtId="41" fontId="29" fillId="5" borderId="111" xfId="1" applyFont="1" applyFill="1" applyBorder="1" applyAlignment="1">
      <alignment vertical="center" wrapText="1"/>
    </xf>
    <xf numFmtId="0" fontId="29" fillId="5" borderId="68" xfId="0" applyFont="1" applyFill="1" applyBorder="1" applyAlignment="1">
      <alignment vertical="center" wrapText="1"/>
    </xf>
    <xf numFmtId="0" fontId="29" fillId="5" borderId="114" xfId="0" applyFont="1" applyFill="1" applyBorder="1" applyAlignment="1">
      <alignment vertical="center" wrapText="1"/>
    </xf>
    <xf numFmtId="41" fontId="29" fillId="5" borderId="115" xfId="1" applyFont="1" applyFill="1" applyBorder="1" applyAlignment="1">
      <alignment vertical="center" wrapText="1"/>
    </xf>
    <xf numFmtId="41" fontId="29" fillId="5" borderId="116" xfId="1" applyFont="1" applyFill="1" applyBorder="1" applyAlignment="1">
      <alignment vertical="center" wrapText="1"/>
    </xf>
    <xf numFmtId="0" fontId="28" fillId="5" borderId="114" xfId="0" applyFont="1" applyFill="1" applyBorder="1" applyAlignment="1">
      <alignment horizontal="center" vertical="center" wrapText="1"/>
    </xf>
    <xf numFmtId="3" fontId="29" fillId="5" borderId="115" xfId="0" applyNumberFormat="1" applyFont="1" applyFill="1" applyBorder="1" applyAlignment="1">
      <alignment horizontal="right" vertical="center" wrapText="1"/>
    </xf>
    <xf numFmtId="0" fontId="29" fillId="8" borderId="88" xfId="0" applyFont="1" applyFill="1" applyBorder="1" applyAlignment="1">
      <alignment horizontal="center" vertical="center" wrapText="1"/>
    </xf>
    <xf numFmtId="3" fontId="29" fillId="3" borderId="88" xfId="0" applyNumberFormat="1" applyFont="1" applyFill="1" applyBorder="1" applyAlignment="1">
      <alignment horizontal="right" vertical="center" wrapText="1"/>
    </xf>
    <xf numFmtId="3" fontId="29" fillId="5" borderId="68" xfId="0" applyNumberFormat="1" applyFont="1" applyFill="1" applyBorder="1" applyAlignment="1">
      <alignment horizontal="right" vertical="center" wrapText="1"/>
    </xf>
    <xf numFmtId="0" fontId="25" fillId="5" borderId="64" xfId="0" applyFont="1" applyFill="1" applyBorder="1" applyAlignment="1">
      <alignment vertical="center" wrapText="1"/>
    </xf>
    <xf numFmtId="0" fontId="29" fillId="5" borderId="119" xfId="0" applyFont="1" applyFill="1" applyBorder="1" applyAlignment="1">
      <alignment vertical="center" wrapText="1"/>
    </xf>
    <xf numFmtId="0" fontId="29" fillId="5" borderId="17" xfId="0" applyFont="1" applyFill="1" applyBorder="1" applyAlignment="1">
      <alignment horizontal="center" vertical="center" wrapText="1"/>
    </xf>
    <xf numFmtId="0" fontId="29" fillId="5" borderId="120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4" fillId="5" borderId="38" xfId="0" applyFont="1" applyFill="1" applyBorder="1" applyAlignment="1">
      <alignment horizontal="justify" vertical="center" wrapText="1"/>
    </xf>
    <xf numFmtId="0" fontId="4" fillId="5" borderId="39" xfId="0" applyFont="1" applyFill="1" applyBorder="1" applyAlignment="1">
      <alignment horizontal="justify" vertical="center" wrapText="1"/>
    </xf>
    <xf numFmtId="0" fontId="4" fillId="5" borderId="40" xfId="0" applyFont="1" applyFill="1" applyBorder="1" applyAlignment="1">
      <alignment horizontal="justify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justify" vertical="center" wrapText="1"/>
    </xf>
    <xf numFmtId="0" fontId="4" fillId="0" borderId="27" xfId="0" applyFont="1" applyBorder="1" applyAlignment="1">
      <alignment horizontal="justify" vertical="center" wrapText="1"/>
    </xf>
    <xf numFmtId="0" fontId="4" fillId="0" borderId="28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4" fillId="5" borderId="31" xfId="0" applyFont="1" applyFill="1" applyBorder="1" applyAlignment="1">
      <alignment horizontal="justify" vertical="center" wrapText="1"/>
    </xf>
    <xf numFmtId="0" fontId="4" fillId="5" borderId="32" xfId="0" applyFont="1" applyFill="1" applyBorder="1" applyAlignment="1">
      <alignment horizontal="justify" vertical="center" wrapText="1"/>
    </xf>
    <xf numFmtId="0" fontId="4" fillId="5" borderId="33" xfId="0" applyFont="1" applyFill="1" applyBorder="1" applyAlignment="1">
      <alignment horizontal="justify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0" fontId="4" fillId="0" borderId="77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justify" vertical="center" wrapText="1"/>
    </xf>
    <xf numFmtId="0" fontId="4" fillId="0" borderId="2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6" xfId="0" applyFont="1" applyBorder="1" applyAlignment="1">
      <alignment horizontal="justify" vertical="center" wrapText="1"/>
    </xf>
    <xf numFmtId="0" fontId="6" fillId="5" borderId="31" xfId="0" applyFont="1" applyFill="1" applyBorder="1" applyAlignment="1">
      <alignment horizontal="justify" vertical="center" wrapText="1"/>
    </xf>
    <xf numFmtId="0" fontId="6" fillId="5" borderId="32" xfId="0" applyFont="1" applyFill="1" applyBorder="1" applyAlignment="1">
      <alignment horizontal="justify" vertical="center" wrapText="1"/>
    </xf>
    <xf numFmtId="0" fontId="6" fillId="5" borderId="33" xfId="0" applyFont="1" applyFill="1" applyBorder="1" applyAlignment="1">
      <alignment horizontal="justify" vertical="center" wrapText="1"/>
    </xf>
    <xf numFmtId="0" fontId="7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176" fontId="6" fillId="0" borderId="17" xfId="0" applyNumberFormat="1" applyFont="1" applyBorder="1" applyAlignment="1">
      <alignment horizontal="center" vertical="center" wrapText="1"/>
    </xf>
    <xf numFmtId="176" fontId="6" fillId="0" borderId="34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3" borderId="52" xfId="0" applyFont="1" applyFill="1" applyBorder="1" applyAlignment="1">
      <alignment horizontal="center" vertical="center" wrapText="1"/>
    </xf>
    <xf numFmtId="0" fontId="6" fillId="3" borderId="53" xfId="0" applyFont="1" applyFill="1" applyBorder="1" applyAlignment="1">
      <alignment horizontal="center" vertical="center" wrapText="1"/>
    </xf>
    <xf numFmtId="0" fontId="6" fillId="3" borderId="54" xfId="0" applyFont="1" applyFill="1" applyBorder="1" applyAlignment="1">
      <alignment horizontal="center" vertical="center" wrapText="1"/>
    </xf>
    <xf numFmtId="0" fontId="4" fillId="3" borderId="56" xfId="0" applyFont="1" applyFill="1" applyBorder="1" applyAlignment="1">
      <alignment horizontal="justify" vertical="center" wrapText="1"/>
    </xf>
    <xf numFmtId="0" fontId="4" fillId="3" borderId="53" xfId="0" applyFont="1" applyFill="1" applyBorder="1" applyAlignment="1">
      <alignment horizontal="justify" vertical="center" wrapText="1"/>
    </xf>
    <xf numFmtId="0" fontId="4" fillId="3" borderId="54" xfId="0" applyFont="1" applyFill="1" applyBorder="1" applyAlignment="1">
      <alignment horizontal="justify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25" xfId="0" applyNumberFormat="1" applyFont="1" applyBorder="1" applyAlignment="1">
      <alignment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76" xfId="0" applyFont="1" applyBorder="1" applyAlignment="1">
      <alignment horizontal="center" vertical="center" wrapText="1"/>
    </xf>
    <xf numFmtId="3" fontId="13" fillId="0" borderId="25" xfId="0" applyNumberFormat="1" applyFont="1" applyBorder="1" applyAlignment="1">
      <alignment horizontal="right" vertical="center" wrapText="1"/>
    </xf>
    <xf numFmtId="3" fontId="13" fillId="0" borderId="18" xfId="0" applyNumberFormat="1" applyFont="1" applyBorder="1" applyAlignment="1">
      <alignment horizontal="right" vertical="center" wrapText="1"/>
    </xf>
    <xf numFmtId="3" fontId="13" fillId="0" borderId="21" xfId="0" applyNumberFormat="1" applyFont="1" applyBorder="1" applyAlignment="1">
      <alignment horizontal="righ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3" fontId="13" fillId="0" borderId="19" xfId="0" applyNumberFormat="1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left" vertical="center" wrapText="1"/>
    </xf>
    <xf numFmtId="3" fontId="13" fillId="0" borderId="0" xfId="0" applyNumberFormat="1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3" fontId="13" fillId="0" borderId="19" xfId="1" applyNumberFormat="1" applyFont="1" applyBorder="1" applyAlignment="1">
      <alignment horizontal="center" vertical="center" wrapText="1"/>
    </xf>
    <xf numFmtId="0" fontId="13" fillId="0" borderId="0" xfId="1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justify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3" fontId="13" fillId="0" borderId="0" xfId="1" applyNumberFormat="1" applyFont="1" applyBorder="1" applyAlignment="1">
      <alignment horizontal="center" vertical="center" wrapText="1"/>
    </xf>
    <xf numFmtId="0" fontId="15" fillId="0" borderId="77" xfId="0" applyFont="1" applyBorder="1" applyAlignment="1">
      <alignment horizontal="center" vertical="center" wrapText="1"/>
    </xf>
    <xf numFmtId="0" fontId="15" fillId="0" borderId="78" xfId="0" applyFont="1" applyBorder="1" applyAlignment="1">
      <alignment horizontal="center" vertical="center" wrapText="1"/>
    </xf>
    <xf numFmtId="41" fontId="13" fillId="0" borderId="72" xfId="1" applyFont="1" applyBorder="1" applyAlignment="1">
      <alignment horizontal="right" vertical="center" wrapText="1"/>
    </xf>
    <xf numFmtId="41" fontId="13" fillId="0" borderId="42" xfId="1" applyFont="1" applyBorder="1" applyAlignment="1">
      <alignment horizontal="right" vertical="center" wrapText="1"/>
    </xf>
    <xf numFmtId="41" fontId="13" fillId="0" borderId="73" xfId="1" applyFont="1" applyBorder="1" applyAlignment="1">
      <alignment horizontal="right" vertical="center" wrapText="1"/>
    </xf>
    <xf numFmtId="41" fontId="13" fillId="0" borderId="25" xfId="1" applyFont="1" applyBorder="1" applyAlignment="1">
      <alignment horizontal="right" vertical="center" wrapText="1"/>
    </xf>
    <xf numFmtId="41" fontId="13" fillId="0" borderId="18" xfId="1" applyFont="1" applyBorder="1" applyAlignment="1">
      <alignment horizontal="right" vertical="center" wrapText="1"/>
    </xf>
    <xf numFmtId="41" fontId="13" fillId="0" borderId="21" xfId="1" applyFont="1" applyBorder="1" applyAlignment="1">
      <alignment horizontal="right" vertical="center" wrapText="1"/>
    </xf>
    <xf numFmtId="0" fontId="13" fillId="0" borderId="26" xfId="0" applyFont="1" applyBorder="1" applyAlignment="1">
      <alignment horizontal="justify" vertical="center" wrapText="1"/>
    </xf>
    <xf numFmtId="0" fontId="13" fillId="0" borderId="27" xfId="0" applyFont="1" applyBorder="1" applyAlignment="1">
      <alignment horizontal="justify" vertical="center" wrapText="1"/>
    </xf>
    <xf numFmtId="0" fontId="11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5" fillId="8" borderId="1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0" fontId="15" fillId="8" borderId="7" xfId="0" applyFont="1" applyFill="1" applyBorder="1" applyAlignment="1">
      <alignment horizontal="center" vertical="center" wrapText="1"/>
    </xf>
    <xf numFmtId="0" fontId="15" fillId="8" borderId="8" xfId="0" applyFont="1" applyFill="1" applyBorder="1" applyAlignment="1">
      <alignment horizontal="center" vertical="center" wrapText="1"/>
    </xf>
    <xf numFmtId="0" fontId="15" fillId="8" borderId="65" xfId="0" applyFont="1" applyFill="1" applyBorder="1" applyAlignment="1">
      <alignment horizontal="center" vertical="center" wrapText="1"/>
    </xf>
    <xf numFmtId="0" fontId="15" fillId="8" borderId="9" xfId="0" applyFont="1" applyFill="1" applyBorder="1" applyAlignment="1">
      <alignment horizontal="center" vertical="center" wrapText="1"/>
    </xf>
    <xf numFmtId="0" fontId="15" fillId="8" borderId="68" xfId="0" applyFont="1" applyFill="1" applyBorder="1" applyAlignment="1">
      <alignment horizontal="center" vertical="center" wrapText="1"/>
    </xf>
    <xf numFmtId="0" fontId="15" fillId="8" borderId="69" xfId="0" applyFont="1" applyFill="1" applyBorder="1" applyAlignment="1">
      <alignment horizontal="center" vertical="center" wrapText="1"/>
    </xf>
    <xf numFmtId="0" fontId="15" fillId="8" borderId="70" xfId="0" applyFont="1" applyFill="1" applyBorder="1" applyAlignment="1">
      <alignment horizontal="center" vertical="center" wrapText="1"/>
    </xf>
    <xf numFmtId="0" fontId="15" fillId="3" borderId="52" xfId="0" applyFont="1" applyFill="1" applyBorder="1" applyAlignment="1">
      <alignment horizontal="center" vertical="center" wrapText="1"/>
    </xf>
    <xf numFmtId="0" fontId="15" fillId="3" borderId="53" xfId="0" applyFont="1" applyFill="1" applyBorder="1" applyAlignment="1">
      <alignment horizontal="center" vertical="center" wrapText="1"/>
    </xf>
    <xf numFmtId="0" fontId="15" fillId="3" borderId="55" xfId="0" applyFont="1" applyFill="1" applyBorder="1" applyAlignment="1">
      <alignment horizontal="center" vertical="center" wrapText="1"/>
    </xf>
    <xf numFmtId="0" fontId="13" fillId="3" borderId="56" xfId="0" applyFont="1" applyFill="1" applyBorder="1" applyAlignment="1">
      <alignment horizontal="justify" vertical="center" wrapText="1"/>
    </xf>
    <xf numFmtId="0" fontId="13" fillId="3" borderId="53" xfId="0" applyFont="1" applyFill="1" applyBorder="1" applyAlignment="1">
      <alignment horizontal="justify" vertical="center" wrapText="1"/>
    </xf>
    <xf numFmtId="0" fontId="13" fillId="3" borderId="54" xfId="0" applyFont="1" applyFill="1" applyBorder="1" applyAlignment="1">
      <alignment horizontal="justify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justify" vertical="center" wrapText="1"/>
    </xf>
    <xf numFmtId="0" fontId="13" fillId="0" borderId="23" xfId="0" applyFont="1" applyBorder="1" applyAlignment="1">
      <alignment horizontal="justify" vertical="center" wrapText="1"/>
    </xf>
    <xf numFmtId="0" fontId="13" fillId="0" borderId="18" xfId="0" applyFont="1" applyBorder="1" applyAlignment="1">
      <alignment horizontal="right" vertical="center" wrapText="1"/>
    </xf>
    <xf numFmtId="0" fontId="13" fillId="0" borderId="21" xfId="0" applyFont="1" applyBorder="1" applyAlignment="1">
      <alignment horizontal="right" vertical="center" wrapText="1"/>
    </xf>
    <xf numFmtId="0" fontId="13" fillId="0" borderId="20" xfId="0" applyFont="1" applyBorder="1" applyAlignment="1">
      <alignment horizontal="justify" vertical="center" wrapText="1"/>
    </xf>
    <xf numFmtId="3" fontId="13" fillId="0" borderId="72" xfId="0" applyNumberFormat="1" applyFont="1" applyBorder="1" applyAlignment="1">
      <alignment horizontal="right" vertical="center" wrapText="1"/>
    </xf>
    <xf numFmtId="3" fontId="13" fillId="0" borderId="42" xfId="0" applyNumberFormat="1" applyFont="1" applyBorder="1" applyAlignment="1">
      <alignment horizontal="right" vertical="center" wrapText="1"/>
    </xf>
    <xf numFmtId="3" fontId="13" fillId="0" borderId="73" xfId="0" applyNumberFormat="1" applyFont="1" applyBorder="1" applyAlignment="1">
      <alignment horizontal="right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justify" vertical="center" wrapText="1"/>
    </xf>
    <xf numFmtId="0" fontId="15" fillId="5" borderId="32" xfId="0" applyFont="1" applyFill="1" applyBorder="1" applyAlignment="1">
      <alignment horizontal="justify" vertical="center" wrapText="1"/>
    </xf>
    <xf numFmtId="0" fontId="15" fillId="5" borderId="33" xfId="0" applyFont="1" applyFill="1" applyBorder="1" applyAlignment="1">
      <alignment horizontal="justify" vertical="center" wrapText="1"/>
    </xf>
    <xf numFmtId="41" fontId="13" fillId="0" borderId="25" xfId="0" applyNumberFormat="1" applyFont="1" applyBorder="1" applyAlignment="1">
      <alignment horizontal="right" vertical="center" wrapText="1"/>
    </xf>
    <xf numFmtId="3" fontId="13" fillId="0" borderId="74" xfId="0" applyNumberFormat="1" applyFont="1" applyBorder="1" applyAlignment="1">
      <alignment horizontal="right" vertical="center" wrapText="1"/>
    </xf>
    <xf numFmtId="3" fontId="13" fillId="0" borderId="13" xfId="0" applyNumberFormat="1" applyFont="1" applyBorder="1" applyAlignment="1">
      <alignment horizontal="right" vertical="center" wrapText="1"/>
    </xf>
    <xf numFmtId="0" fontId="13" fillId="0" borderId="14" xfId="0" applyFont="1" applyBorder="1" applyAlignment="1">
      <alignment horizontal="justify" vertical="center" wrapText="1"/>
    </xf>
    <xf numFmtId="0" fontId="13" fillId="0" borderId="15" xfId="0" applyFont="1" applyBorder="1" applyAlignment="1">
      <alignment horizontal="justify" vertical="center" wrapText="1"/>
    </xf>
    <xf numFmtId="0" fontId="13" fillId="0" borderId="28" xfId="0" applyFont="1" applyBorder="1" applyAlignment="1">
      <alignment horizontal="justify" vertical="center" wrapText="1"/>
    </xf>
    <xf numFmtId="41" fontId="13" fillId="0" borderId="22" xfId="1" applyFont="1" applyBorder="1" applyAlignment="1">
      <alignment horizontal="justify" vertical="center" wrapText="1"/>
    </xf>
    <xf numFmtId="41" fontId="13" fillId="0" borderId="23" xfId="1" applyFont="1" applyBorder="1" applyAlignment="1">
      <alignment horizontal="justify" vertical="center" wrapText="1"/>
    </xf>
    <xf numFmtId="0" fontId="15" fillId="0" borderId="75" xfId="0" applyFont="1" applyBorder="1" applyAlignment="1">
      <alignment horizontal="center" vertical="center" wrapText="1"/>
    </xf>
    <xf numFmtId="41" fontId="13" fillId="0" borderId="74" xfId="1" applyFont="1" applyBorder="1" applyAlignment="1">
      <alignment horizontal="right" vertical="center" wrapText="1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3" fontId="23" fillId="0" borderId="79" xfId="1" applyNumberFormat="1" applyFont="1" applyBorder="1" applyAlignment="1">
      <alignment horizontal="center" vertical="center" wrapText="1"/>
    </xf>
    <xf numFmtId="3" fontId="23" fillId="0" borderId="89" xfId="1" applyNumberFormat="1" applyFont="1" applyBorder="1" applyAlignment="1">
      <alignment horizontal="center" vertical="center" wrapText="1"/>
    </xf>
    <xf numFmtId="3" fontId="23" fillId="0" borderId="92" xfId="1" applyNumberFormat="1" applyFont="1" applyBorder="1" applyAlignment="1">
      <alignment horizontal="center" vertical="center" wrapText="1"/>
    </xf>
    <xf numFmtId="0" fontId="25" fillId="0" borderId="93" xfId="0" applyFont="1" applyBorder="1" applyAlignment="1">
      <alignment horizontal="center" vertical="center"/>
    </xf>
    <xf numFmtId="0" fontId="25" fillId="0" borderId="94" xfId="0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/>
    </xf>
    <xf numFmtId="0" fontId="24" fillId="0" borderId="88" xfId="0" applyFont="1" applyBorder="1" applyAlignment="1">
      <alignment horizontal="center" vertical="center"/>
    </xf>
    <xf numFmtId="0" fontId="24" fillId="0" borderId="82" xfId="0" applyFont="1" applyBorder="1" applyAlignment="1">
      <alignment horizontal="center" vertical="center"/>
    </xf>
    <xf numFmtId="0" fontId="28" fillId="6" borderId="90" xfId="0" applyFont="1" applyFill="1" applyBorder="1" applyAlignment="1">
      <alignment horizontal="center" vertical="center" wrapText="1"/>
    </xf>
    <xf numFmtId="0" fontId="28" fillId="6" borderId="63" xfId="0" applyFont="1" applyFill="1" applyBorder="1" applyAlignment="1">
      <alignment horizontal="center" vertical="center" wrapText="1"/>
    </xf>
    <xf numFmtId="0" fontId="28" fillId="6" borderId="91" xfId="0" applyFont="1" applyFill="1" applyBorder="1" applyAlignment="1">
      <alignment horizontal="center" vertical="center" wrapText="1"/>
    </xf>
    <xf numFmtId="0" fontId="28" fillId="6" borderId="49" xfId="0" applyFont="1" applyFill="1" applyBorder="1" applyAlignment="1">
      <alignment horizontal="center" vertical="center" wrapText="1"/>
    </xf>
    <xf numFmtId="41" fontId="28" fillId="6" borderId="91" xfId="1" applyFont="1" applyFill="1" applyBorder="1" applyAlignment="1">
      <alignment horizontal="center" vertical="center" wrapText="1"/>
    </xf>
    <xf numFmtId="41" fontId="28" fillId="6" borderId="49" xfId="1" applyFont="1" applyFill="1" applyBorder="1" applyAlignment="1">
      <alignment horizontal="center" vertical="center" wrapText="1"/>
    </xf>
    <xf numFmtId="41" fontId="28" fillId="6" borderId="95" xfId="1" applyFont="1" applyFill="1" applyBorder="1" applyAlignment="1">
      <alignment horizontal="center" vertical="center" wrapText="1"/>
    </xf>
    <xf numFmtId="41" fontId="28" fillId="6" borderId="85" xfId="1" applyFont="1" applyFill="1" applyBorder="1" applyAlignment="1">
      <alignment horizontal="center" vertical="center" wrapText="1"/>
    </xf>
    <xf numFmtId="0" fontId="28" fillId="6" borderId="89" xfId="0" applyFont="1" applyFill="1" applyBorder="1" applyAlignment="1">
      <alignment horizontal="center" vertical="center" wrapText="1"/>
    </xf>
    <xf numFmtId="0" fontId="28" fillId="6" borderId="105" xfId="0" applyFont="1" applyFill="1" applyBorder="1" applyAlignment="1">
      <alignment horizontal="center" vertical="center" wrapText="1"/>
    </xf>
    <xf numFmtId="0" fontId="28" fillId="6" borderId="45" xfId="0" applyFont="1" applyFill="1" applyBorder="1" applyAlignment="1">
      <alignment horizontal="center" vertical="center" wrapText="1"/>
    </xf>
    <xf numFmtId="0" fontId="27" fillId="6" borderId="91" xfId="0" applyFont="1" applyFill="1" applyBorder="1" applyAlignment="1">
      <alignment horizontal="center" vertical="center" wrapText="1"/>
    </xf>
    <xf numFmtId="0" fontId="27" fillId="6" borderId="49" xfId="0" applyFont="1" applyFill="1" applyBorder="1" applyAlignment="1">
      <alignment horizontal="center" vertical="center" wrapText="1"/>
    </xf>
    <xf numFmtId="0" fontId="28" fillId="0" borderId="100" xfId="0" applyFont="1" applyBorder="1" applyAlignment="1">
      <alignment horizontal="center" vertical="center" wrapText="1"/>
    </xf>
    <xf numFmtId="0" fontId="28" fillId="0" borderId="103" xfId="0" applyFont="1" applyBorder="1" applyAlignment="1">
      <alignment horizontal="center" vertical="center" wrapText="1"/>
    </xf>
    <xf numFmtId="0" fontId="28" fillId="0" borderId="101" xfId="0" applyFont="1" applyBorder="1" applyAlignment="1">
      <alignment horizontal="center" vertical="center" wrapText="1"/>
    </xf>
    <xf numFmtId="41" fontId="28" fillId="0" borderId="45" xfId="1" applyFont="1" applyBorder="1" applyAlignment="1">
      <alignment horizontal="center" vertical="center" wrapText="1"/>
    </xf>
    <xf numFmtId="41" fontId="28" fillId="0" borderId="81" xfId="1" applyFont="1" applyBorder="1" applyAlignment="1">
      <alignment horizontal="center" vertical="center" wrapText="1"/>
    </xf>
    <xf numFmtId="41" fontId="28" fillId="6" borderId="45" xfId="1" applyFont="1" applyFill="1" applyBorder="1" applyAlignment="1">
      <alignment horizontal="center" vertical="center" wrapText="1"/>
    </xf>
    <xf numFmtId="0" fontId="20" fillId="0" borderId="90" xfId="0" applyFont="1" applyBorder="1" applyAlignment="1">
      <alignment horizontal="center" vertical="center" wrapText="1"/>
    </xf>
    <xf numFmtId="0" fontId="20" fillId="0" borderId="89" xfId="0" applyFont="1" applyBorder="1" applyAlignment="1">
      <alignment horizontal="center" vertical="center" wrapText="1"/>
    </xf>
    <xf numFmtId="0" fontId="20" fillId="0" borderId="118" xfId="0" applyFont="1" applyBorder="1" applyAlignment="1">
      <alignment horizontal="center" vertical="center" wrapText="1"/>
    </xf>
    <xf numFmtId="3" fontId="28" fillId="6" borderId="109" xfId="0" applyNumberFormat="1" applyFont="1" applyFill="1" applyBorder="1" applyAlignment="1">
      <alignment horizontal="right" vertical="center" wrapText="1"/>
    </xf>
    <xf numFmtId="3" fontId="28" fillId="6" borderId="111" xfId="0" applyNumberFormat="1" applyFont="1" applyFill="1" applyBorder="1" applyAlignment="1">
      <alignment horizontal="right" vertical="center" wrapText="1"/>
    </xf>
    <xf numFmtId="41" fontId="28" fillId="0" borderId="102" xfId="1" applyFont="1" applyBorder="1" applyAlignment="1">
      <alignment horizontal="center" vertical="center" wrapText="1"/>
    </xf>
    <xf numFmtId="41" fontId="28" fillId="0" borderId="73" xfId="1" applyFont="1" applyBorder="1" applyAlignment="1">
      <alignment horizontal="center" vertical="center" wrapText="1"/>
    </xf>
    <xf numFmtId="41" fontId="28" fillId="0" borderId="78" xfId="1" applyFont="1" applyBorder="1" applyAlignment="1">
      <alignment horizontal="center" vertical="center" wrapText="1"/>
    </xf>
    <xf numFmtId="41" fontId="28" fillId="0" borderId="21" xfId="1" applyFont="1" applyBorder="1" applyAlignment="1">
      <alignment horizontal="center" vertical="center" wrapText="1"/>
    </xf>
    <xf numFmtId="41" fontId="28" fillId="0" borderId="109" xfId="1" applyFont="1" applyBorder="1" applyAlignment="1">
      <alignment horizontal="center" vertical="center" wrapText="1"/>
    </xf>
    <xf numFmtId="41" fontId="28" fillId="0" borderId="110" xfId="1" applyFont="1" applyBorder="1" applyAlignment="1">
      <alignment horizontal="center" vertical="center" wrapText="1"/>
    </xf>
    <xf numFmtId="3" fontId="28" fillId="6" borderId="110" xfId="0" applyNumberFormat="1" applyFont="1" applyFill="1" applyBorder="1" applyAlignment="1">
      <alignment horizontal="right" vertical="center" wrapText="1"/>
    </xf>
    <xf numFmtId="3" fontId="28" fillId="6" borderId="78" xfId="0" applyNumberFormat="1" applyFont="1" applyFill="1" applyBorder="1" applyAlignment="1">
      <alignment horizontal="right" vertical="center" wrapText="1"/>
    </xf>
    <xf numFmtId="3" fontId="28" fillId="6" borderId="21" xfId="0" applyNumberFormat="1" applyFont="1" applyFill="1" applyBorder="1" applyAlignment="1">
      <alignment horizontal="right" vertical="center" wrapText="1"/>
    </xf>
    <xf numFmtId="0" fontId="28" fillId="0" borderId="64" xfId="0" applyFont="1" applyBorder="1" applyAlignment="1">
      <alignment horizontal="center" vertical="center" wrapText="1"/>
    </xf>
    <xf numFmtId="0" fontId="28" fillId="0" borderId="90" xfId="0" applyFont="1" applyBorder="1" applyAlignment="1">
      <alignment horizontal="center" vertical="center" wrapText="1"/>
    </xf>
    <xf numFmtId="3" fontId="28" fillId="6" borderId="18" xfId="0" applyNumberFormat="1" applyFont="1" applyFill="1" applyBorder="1" applyAlignment="1">
      <alignment horizontal="right" vertical="center" wrapText="1"/>
    </xf>
    <xf numFmtId="0" fontId="27" fillId="6" borderId="45" xfId="0" applyFont="1" applyFill="1" applyBorder="1" applyAlignment="1">
      <alignment horizontal="center" vertical="center" wrapText="1"/>
    </xf>
    <xf numFmtId="41" fontId="28" fillId="0" borderId="72" xfId="1" applyFont="1" applyBorder="1" applyAlignment="1">
      <alignment horizontal="right" vertical="center" wrapText="1"/>
    </xf>
    <xf numFmtId="41" fontId="28" fillId="0" borderId="73" xfId="1" applyFont="1" applyBorder="1" applyAlignment="1">
      <alignment horizontal="right" vertical="center" wrapText="1"/>
    </xf>
    <xf numFmtId="41" fontId="28" fillId="0" borderId="25" xfId="1" applyFont="1" applyBorder="1" applyAlignment="1">
      <alignment horizontal="right" vertical="center" wrapText="1"/>
    </xf>
    <xf numFmtId="41" fontId="28" fillId="0" borderId="21" xfId="1" applyFont="1" applyBorder="1" applyAlignment="1">
      <alignment horizontal="right" vertical="center" wrapText="1"/>
    </xf>
    <xf numFmtId="0" fontId="28" fillId="0" borderId="91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28" fillId="6" borderId="102" xfId="0" applyFont="1" applyFill="1" applyBorder="1" applyAlignment="1">
      <alignment horizontal="center" vertical="center" wrapText="1"/>
    </xf>
    <xf numFmtId="0" fontId="28" fillId="6" borderId="73" xfId="0" applyFont="1" applyFill="1" applyBorder="1" applyAlignment="1">
      <alignment horizontal="center" vertical="center" wrapText="1"/>
    </xf>
    <xf numFmtId="0" fontId="27" fillId="6" borderId="102" xfId="0" applyFont="1" applyFill="1" applyBorder="1" applyAlignment="1">
      <alignment horizontal="center" vertical="center" wrapText="1"/>
    </xf>
    <xf numFmtId="0" fontId="27" fillId="6" borderId="73" xfId="0" applyFont="1" applyFill="1" applyBorder="1" applyAlignment="1">
      <alignment horizontal="center" vertical="center" wrapText="1"/>
    </xf>
    <xf numFmtId="0" fontId="28" fillId="6" borderId="42" xfId="0" applyFont="1" applyFill="1" applyBorder="1" applyAlignment="1">
      <alignment horizontal="center" vertical="center" wrapText="1"/>
    </xf>
    <xf numFmtId="3" fontId="28" fillId="0" borderId="91" xfId="0" applyNumberFormat="1" applyFont="1" applyBorder="1" applyAlignment="1">
      <alignment vertical="center" wrapText="1"/>
    </xf>
    <xf numFmtId="3" fontId="28" fillId="0" borderId="49" xfId="0" applyNumberFormat="1" applyFont="1" applyBorder="1" applyAlignment="1">
      <alignment vertical="center" wrapText="1"/>
    </xf>
    <xf numFmtId="3" fontId="28" fillId="0" borderId="45" xfId="0" applyNumberFormat="1" applyFont="1" applyBorder="1" applyAlignment="1">
      <alignment vertical="center" wrapText="1"/>
    </xf>
    <xf numFmtId="3" fontId="28" fillId="0" borderId="81" xfId="0" applyNumberFormat="1" applyFont="1" applyBorder="1" applyAlignment="1">
      <alignment vertical="center" wrapText="1"/>
    </xf>
    <xf numFmtId="0" fontId="20" fillId="0" borderId="64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28" fillId="0" borderId="108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7" fillId="0" borderId="72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8" fillId="0" borderId="72" xfId="0" applyFont="1" applyBorder="1" applyAlignment="1">
      <alignment horizontal="center" vertical="center" wrapText="1"/>
    </xf>
    <xf numFmtId="0" fontId="28" fillId="0" borderId="73" xfId="0" applyFont="1" applyBorder="1" applyAlignment="1">
      <alignment horizontal="center" vertical="center" wrapText="1"/>
    </xf>
    <xf numFmtId="0" fontId="28" fillId="5" borderId="108" xfId="0" applyFont="1" applyFill="1" applyBorder="1" applyAlignment="1">
      <alignment horizontal="center" vertical="center" wrapText="1"/>
    </xf>
    <xf numFmtId="0" fontId="28" fillId="5" borderId="0" xfId="0" applyFont="1" applyFill="1" applyBorder="1" applyAlignment="1">
      <alignment horizontal="center" vertical="center" wrapText="1"/>
    </xf>
    <xf numFmtId="3" fontId="28" fillId="0" borderId="25" xfId="0" applyNumberFormat="1" applyFont="1" applyBorder="1" applyAlignment="1">
      <alignment horizontal="right" vertical="center" wrapText="1"/>
    </xf>
    <xf numFmtId="3" fontId="28" fillId="0" borderId="18" xfId="0" applyNumberFormat="1" applyFont="1" applyBorder="1" applyAlignment="1">
      <alignment horizontal="right" vertical="center" wrapText="1"/>
    </xf>
    <xf numFmtId="0" fontId="29" fillId="3" borderId="64" xfId="0" applyFont="1" applyFill="1" applyBorder="1" applyAlignment="1">
      <alignment horizontal="center" vertical="center" wrapText="1"/>
    </xf>
    <xf numFmtId="0" fontId="29" fillId="3" borderId="45" xfId="0" applyFont="1" applyFill="1" applyBorder="1" applyAlignment="1">
      <alignment horizontal="center" vertical="center" wrapText="1"/>
    </xf>
    <xf numFmtId="0" fontId="27" fillId="0" borderId="99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41" fontId="28" fillId="0" borderId="25" xfId="1" applyFont="1" applyBorder="1" applyAlignment="1">
      <alignment horizontal="center" vertical="center" wrapText="1"/>
    </xf>
    <xf numFmtId="3" fontId="28" fillId="0" borderId="45" xfId="0" applyNumberFormat="1" applyFont="1" applyBorder="1" applyAlignment="1">
      <alignment horizontal="right" vertical="center" wrapText="1"/>
    </xf>
    <xf numFmtId="3" fontId="28" fillId="0" borderId="100" xfId="0" applyNumberFormat="1" applyFont="1" applyBorder="1" applyAlignment="1">
      <alignment horizontal="right" vertical="center" wrapText="1"/>
    </xf>
    <xf numFmtId="0" fontId="28" fillId="0" borderId="101" xfId="0" applyFont="1" applyBorder="1" applyAlignment="1">
      <alignment horizontal="right" vertical="center" wrapText="1"/>
    </xf>
    <xf numFmtId="41" fontId="28" fillId="6" borderId="18" xfId="1" applyFont="1" applyFill="1" applyBorder="1" applyAlignment="1">
      <alignment horizontal="right" vertical="center" wrapText="1"/>
    </xf>
    <xf numFmtId="41" fontId="28" fillId="6" borderId="42" xfId="1" applyFont="1" applyFill="1" applyBorder="1" applyAlignment="1">
      <alignment horizontal="right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3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28" fillId="5" borderId="35" xfId="0" applyFont="1" applyFill="1" applyBorder="1" applyAlignment="1">
      <alignment horizontal="center" vertical="center" wrapText="1"/>
    </xf>
    <xf numFmtId="0" fontId="28" fillId="5" borderId="39" xfId="0" applyFont="1" applyFill="1" applyBorder="1" applyAlignment="1">
      <alignment horizontal="center" vertical="center" wrapText="1"/>
    </xf>
    <xf numFmtId="41" fontId="28" fillId="0" borderId="91" xfId="1" applyFont="1" applyBorder="1" applyAlignment="1">
      <alignment horizontal="center" vertical="center" wrapText="1"/>
    </xf>
    <xf numFmtId="41" fontId="28" fillId="0" borderId="49" xfId="1" applyFont="1" applyBorder="1" applyAlignment="1">
      <alignment horizontal="center" vertical="center" wrapText="1"/>
    </xf>
    <xf numFmtId="0" fontId="28" fillId="0" borderId="25" xfId="0" applyFont="1" applyBorder="1" applyAlignment="1">
      <alignment horizontal="right" vertical="center" wrapText="1"/>
    </xf>
    <xf numFmtId="0" fontId="28" fillId="0" borderId="21" xfId="0" applyFont="1" applyBorder="1" applyAlignment="1">
      <alignment horizontal="right" vertical="center" wrapText="1"/>
    </xf>
    <xf numFmtId="0" fontId="28" fillId="0" borderId="26" xfId="0" applyFont="1" applyBorder="1" applyAlignment="1">
      <alignment horizontal="right" vertical="center" wrapText="1"/>
    </xf>
    <xf numFmtId="0" fontId="28" fillId="0" borderId="22" xfId="0" applyFont="1" applyBorder="1" applyAlignment="1">
      <alignment horizontal="right" vertical="center" wrapText="1"/>
    </xf>
    <xf numFmtId="0" fontId="28" fillId="0" borderId="18" xfId="0" applyFont="1" applyBorder="1" applyAlignment="1">
      <alignment horizontal="right" vertical="center" wrapText="1"/>
    </xf>
    <xf numFmtId="3" fontId="28" fillId="0" borderId="26" xfId="0" applyNumberFormat="1" applyFont="1" applyBorder="1" applyAlignment="1">
      <alignment horizontal="right" vertical="center" wrapText="1"/>
    </xf>
    <xf numFmtId="3" fontId="28" fillId="0" borderId="19" xfId="0" applyNumberFormat="1" applyFont="1" applyBorder="1" applyAlignment="1">
      <alignment horizontal="right" vertical="center" wrapText="1"/>
    </xf>
    <xf numFmtId="3" fontId="28" fillId="0" borderId="91" xfId="0" applyNumberFormat="1" applyFont="1" applyBorder="1" applyAlignment="1">
      <alignment horizontal="right" vertical="center" wrapText="1"/>
    </xf>
    <xf numFmtId="3" fontId="28" fillId="0" borderId="49" xfId="0" applyNumberFormat="1" applyFont="1" applyBorder="1" applyAlignment="1">
      <alignment horizontal="right" vertical="center" wrapText="1"/>
    </xf>
    <xf numFmtId="0" fontId="28" fillId="0" borderId="45" xfId="0" applyFont="1" applyBorder="1" applyAlignment="1">
      <alignment horizontal="right" vertical="center" wrapText="1"/>
    </xf>
    <xf numFmtId="41" fontId="28" fillId="0" borderId="26" xfId="1" applyFont="1" applyBorder="1" applyAlignment="1">
      <alignment horizontal="center" vertical="center" wrapText="1"/>
    </xf>
    <xf numFmtId="41" fontId="28" fillId="0" borderId="22" xfId="1" applyFont="1" applyBorder="1" applyAlignment="1">
      <alignment horizontal="center" vertical="center" wrapText="1"/>
    </xf>
    <xf numFmtId="3" fontId="28" fillId="0" borderId="21" xfId="0" applyNumberFormat="1" applyFont="1" applyBorder="1" applyAlignment="1">
      <alignment horizontal="right" vertical="center" wrapText="1"/>
    </xf>
    <xf numFmtId="0" fontId="28" fillId="0" borderId="51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8" fillId="0" borderId="45" xfId="0" applyFont="1" applyBorder="1" applyAlignment="1">
      <alignment vertical="center" wrapText="1"/>
    </xf>
    <xf numFmtId="3" fontId="28" fillId="0" borderId="22" xfId="0" applyNumberFormat="1" applyFont="1" applyBorder="1" applyAlignment="1">
      <alignment horizontal="right" vertical="center" wrapText="1"/>
    </xf>
    <xf numFmtId="0" fontId="29" fillId="8" borderId="45" xfId="0" applyFont="1" applyFill="1" applyBorder="1" applyAlignment="1">
      <alignment horizontal="center" vertical="center" wrapText="1"/>
    </xf>
    <xf numFmtId="0" fontId="29" fillId="8" borderId="90" xfId="0" applyFont="1" applyFill="1" applyBorder="1" applyAlignment="1">
      <alignment horizontal="center" vertical="center" wrapText="1"/>
    </xf>
    <xf numFmtId="0" fontId="29" fillId="8" borderId="63" xfId="0" applyFont="1" applyFill="1" applyBorder="1" applyAlignment="1">
      <alignment horizontal="center" vertical="center" wrapText="1"/>
    </xf>
    <xf numFmtId="0" fontId="29" fillId="8" borderId="106" xfId="0" applyFont="1" applyFill="1" applyBorder="1" applyAlignment="1">
      <alignment horizontal="center" vertical="center" wrapText="1"/>
    </xf>
    <xf numFmtId="0" fontId="29" fillId="8" borderId="80" xfId="0" applyFont="1" applyFill="1" applyBorder="1" applyAlignment="1">
      <alignment horizontal="center" vertical="center" wrapText="1"/>
    </xf>
    <xf numFmtId="0" fontId="29" fillId="8" borderId="117" xfId="0" applyFont="1" applyFill="1" applyBorder="1" applyAlignment="1">
      <alignment horizontal="center" vertical="center" wrapText="1"/>
    </xf>
    <xf numFmtId="0" fontId="29" fillId="8" borderId="107" xfId="0" applyFont="1" applyFill="1" applyBorder="1" applyAlignment="1">
      <alignment horizontal="center" vertical="center" wrapText="1"/>
    </xf>
    <xf numFmtId="0" fontId="29" fillId="8" borderId="64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workbookViewId="0">
      <selection activeCell="A4" sqref="A4:F91"/>
    </sheetView>
  </sheetViews>
  <sheetFormatPr defaultRowHeight="16.5"/>
  <cols>
    <col min="1" max="3" width="10.625" customWidth="1"/>
    <col min="4" max="6" width="13.625" customWidth="1"/>
    <col min="7" max="7" width="9.625" customWidth="1"/>
    <col min="8" max="11" width="5.125" customWidth="1"/>
    <col min="12" max="18" width="0.875" customWidth="1"/>
    <col min="19" max="19" width="15.625" customWidth="1"/>
    <col min="22" max="22" width="11.375" bestFit="1" customWidth="1"/>
  </cols>
  <sheetData>
    <row r="1" spans="1:19" s="1" customFormat="1" ht="35.1" customHeight="1">
      <c r="A1" s="265" t="s">
        <v>31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</row>
    <row r="2" spans="1:19" s="1" customFormat="1" ht="15.95" customHeight="1">
      <c r="A2" s="2"/>
    </row>
    <row r="3" spans="1:19" s="1" customFormat="1" ht="35.1" customHeight="1" thickBot="1">
      <c r="A3" s="266" t="s">
        <v>83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</row>
    <row r="4" spans="1:19" s="3" customFormat="1" ht="30" customHeight="1">
      <c r="A4" s="267" t="s">
        <v>0</v>
      </c>
      <c r="B4" s="268"/>
      <c r="C4" s="269"/>
      <c r="D4" s="270" t="s">
        <v>32</v>
      </c>
      <c r="E4" s="271"/>
      <c r="F4" s="272"/>
      <c r="G4" s="273" t="s">
        <v>1</v>
      </c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5"/>
    </row>
    <row r="5" spans="1:19" s="3" customFormat="1" ht="30" customHeight="1" thickBot="1">
      <c r="A5" s="23" t="s">
        <v>2</v>
      </c>
      <c r="B5" s="24" t="s">
        <v>3</v>
      </c>
      <c r="C5" s="24" t="s">
        <v>4</v>
      </c>
      <c r="D5" s="25" t="s">
        <v>33</v>
      </c>
      <c r="E5" s="25" t="s">
        <v>34</v>
      </c>
      <c r="F5" s="25" t="s">
        <v>5</v>
      </c>
      <c r="G5" s="276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8"/>
    </row>
    <row r="6" spans="1:19" s="3" customFormat="1" ht="30" customHeight="1" thickBot="1">
      <c r="A6" s="279" t="s">
        <v>6</v>
      </c>
      <c r="B6" s="280"/>
      <c r="C6" s="281"/>
      <c r="D6" s="26">
        <f>D19+D32+D43+D63+D67+D74+D91</f>
        <v>1671011130</v>
      </c>
      <c r="E6" s="26">
        <f>E19+E32+E43+E63+E67+E74+E91</f>
        <v>1988872000</v>
      </c>
      <c r="F6" s="26">
        <f>F19+F32+F43+F63+F67+F74+F91</f>
        <v>317860870</v>
      </c>
      <c r="G6" s="282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4"/>
    </row>
    <row r="7" spans="1:19" s="3" customFormat="1" ht="24.95" customHeight="1">
      <c r="A7" s="285" t="s">
        <v>175</v>
      </c>
      <c r="B7" s="287" t="s">
        <v>42</v>
      </c>
      <c r="C7" s="289" t="s">
        <v>43</v>
      </c>
      <c r="D7" s="213">
        <v>115096180</v>
      </c>
      <c r="E7" s="213">
        <f>S15</f>
        <v>135419380</v>
      </c>
      <c r="F7" s="213">
        <f>E7-D7</f>
        <v>20323200</v>
      </c>
      <c r="G7" s="220" t="s">
        <v>7</v>
      </c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2"/>
    </row>
    <row r="8" spans="1:19" s="3" customFormat="1" ht="24.95" customHeight="1">
      <c r="A8" s="286"/>
      <c r="B8" s="288"/>
      <c r="C8" s="289"/>
      <c r="D8" s="213"/>
      <c r="E8" s="213"/>
      <c r="F8" s="213"/>
      <c r="G8" s="20" t="s">
        <v>36</v>
      </c>
      <c r="H8" s="245">
        <v>69150</v>
      </c>
      <c r="I8" s="245"/>
      <c r="J8" s="224" t="s">
        <v>8</v>
      </c>
      <c r="K8" s="224"/>
      <c r="L8" s="247">
        <v>0.2</v>
      </c>
      <c r="M8" s="247"/>
      <c r="N8" s="247"/>
      <c r="O8" s="247"/>
      <c r="P8" s="247"/>
      <c r="Q8" s="247"/>
      <c r="R8" s="247"/>
      <c r="S8" s="4">
        <f>2*69150*365*20%</f>
        <v>10095900</v>
      </c>
    </row>
    <row r="9" spans="1:19" s="3" customFormat="1" ht="24.95" customHeight="1">
      <c r="A9" s="286"/>
      <c r="B9" s="288"/>
      <c r="C9" s="289"/>
      <c r="D9" s="213"/>
      <c r="E9" s="213"/>
      <c r="F9" s="213"/>
      <c r="G9" s="220" t="s">
        <v>9</v>
      </c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5"/>
    </row>
    <row r="10" spans="1:19" s="3" customFormat="1" ht="24.95" customHeight="1">
      <c r="A10" s="286"/>
      <c r="B10" s="288"/>
      <c r="C10" s="289"/>
      <c r="D10" s="213"/>
      <c r="E10" s="213"/>
      <c r="F10" s="213"/>
      <c r="G10" s="20" t="s">
        <v>37</v>
      </c>
      <c r="H10" s="245">
        <v>64170</v>
      </c>
      <c r="I10" s="245"/>
      <c r="J10" s="224" t="s">
        <v>8</v>
      </c>
      <c r="K10" s="224"/>
      <c r="L10" s="247">
        <v>0.2</v>
      </c>
      <c r="M10" s="247"/>
      <c r="N10" s="247"/>
      <c r="O10" s="247"/>
      <c r="P10" s="247"/>
      <c r="Q10" s="247"/>
      <c r="R10" s="247"/>
      <c r="S10" s="4">
        <f>12*64170*365*20%</f>
        <v>56212920</v>
      </c>
    </row>
    <row r="11" spans="1:19" s="3" customFormat="1" ht="24.95" customHeight="1">
      <c r="A11" s="286"/>
      <c r="B11" s="288"/>
      <c r="C11" s="289"/>
      <c r="D11" s="213"/>
      <c r="E11" s="213"/>
      <c r="F11" s="213"/>
      <c r="G11" s="220" t="s">
        <v>10</v>
      </c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5"/>
    </row>
    <row r="12" spans="1:19" s="3" customFormat="1" ht="24.95" customHeight="1">
      <c r="A12" s="286"/>
      <c r="B12" s="288"/>
      <c r="C12" s="289"/>
      <c r="D12" s="213"/>
      <c r="E12" s="213"/>
      <c r="F12" s="213"/>
      <c r="G12" s="20" t="s">
        <v>38</v>
      </c>
      <c r="H12" s="245">
        <v>59170</v>
      </c>
      <c r="I12" s="245"/>
      <c r="J12" s="224" t="s">
        <v>8</v>
      </c>
      <c r="K12" s="224"/>
      <c r="L12" s="247">
        <v>0.2</v>
      </c>
      <c r="M12" s="247"/>
      <c r="N12" s="247"/>
      <c r="O12" s="247"/>
      <c r="P12" s="247"/>
      <c r="Q12" s="247"/>
      <c r="R12" s="247"/>
      <c r="S12" s="4">
        <f>10*59170*365*20%</f>
        <v>43194100</v>
      </c>
    </row>
    <row r="13" spans="1:19" s="3" customFormat="1" ht="24.95" customHeight="1">
      <c r="A13" s="286"/>
      <c r="B13" s="288"/>
      <c r="C13" s="289"/>
      <c r="D13" s="213"/>
      <c r="E13" s="213"/>
      <c r="F13" s="213"/>
      <c r="G13" s="220" t="s">
        <v>11</v>
      </c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5"/>
    </row>
    <row r="14" spans="1:19" s="3" customFormat="1" ht="24.95" customHeight="1">
      <c r="A14" s="286"/>
      <c r="B14" s="288"/>
      <c r="C14" s="289"/>
      <c r="D14" s="213"/>
      <c r="E14" s="213"/>
      <c r="F14" s="213"/>
      <c r="G14" s="20" t="s">
        <v>39</v>
      </c>
      <c r="H14" s="245">
        <v>59170</v>
      </c>
      <c r="I14" s="245"/>
      <c r="J14" s="224" t="s">
        <v>8</v>
      </c>
      <c r="K14" s="224"/>
      <c r="L14" s="247">
        <v>0.2</v>
      </c>
      <c r="M14" s="247"/>
      <c r="N14" s="247"/>
      <c r="O14" s="247"/>
      <c r="P14" s="247"/>
      <c r="Q14" s="247"/>
      <c r="R14" s="247"/>
      <c r="S14" s="4">
        <f>6*59170*365*20%</f>
        <v>25916460</v>
      </c>
    </row>
    <row r="15" spans="1:19" s="3" customFormat="1" ht="24.95" customHeight="1">
      <c r="A15" s="286"/>
      <c r="B15" s="288"/>
      <c r="C15" s="289"/>
      <c r="D15" s="214"/>
      <c r="E15" s="214"/>
      <c r="F15" s="214"/>
      <c r="G15" s="19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6">
        <f>SUM(S8+S10+S12+S14)</f>
        <v>135419380</v>
      </c>
    </row>
    <row r="16" spans="1:19" s="3" customFormat="1" ht="24.95" customHeight="1">
      <c r="A16" s="286"/>
      <c r="B16" s="288"/>
      <c r="C16" s="290" t="s">
        <v>44</v>
      </c>
      <c r="D16" s="212">
        <v>65043000</v>
      </c>
      <c r="E16" s="212">
        <f>S18</f>
        <v>82125000</v>
      </c>
      <c r="F16" s="212">
        <f>E16-D16</f>
        <v>17082000</v>
      </c>
      <c r="G16" s="217" t="s">
        <v>12</v>
      </c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7"/>
    </row>
    <row r="17" spans="1:19" s="3" customFormat="1" ht="24.95" customHeight="1">
      <c r="A17" s="286"/>
      <c r="B17" s="288"/>
      <c r="C17" s="291"/>
      <c r="D17" s="213"/>
      <c r="E17" s="213"/>
      <c r="F17" s="213"/>
      <c r="G17" s="20" t="s">
        <v>35</v>
      </c>
      <c r="H17" s="245">
        <v>7500</v>
      </c>
      <c r="I17" s="245"/>
      <c r="J17" s="224" t="s">
        <v>8</v>
      </c>
      <c r="K17" s="224"/>
      <c r="L17" s="224"/>
      <c r="M17" s="224"/>
      <c r="N17" s="224"/>
      <c r="O17" s="224"/>
      <c r="P17" s="224"/>
      <c r="Q17" s="224"/>
      <c r="R17" s="224"/>
      <c r="S17" s="4">
        <f>30*7500*365</f>
        <v>82125000</v>
      </c>
    </row>
    <row r="18" spans="1:19" s="3" customFormat="1" ht="24.95" customHeight="1">
      <c r="A18" s="286"/>
      <c r="B18" s="288"/>
      <c r="C18" s="292"/>
      <c r="D18" s="213"/>
      <c r="E18" s="213"/>
      <c r="F18" s="213"/>
      <c r="G18" s="19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6">
        <f>S17</f>
        <v>82125000</v>
      </c>
    </row>
    <row r="19" spans="1:19" s="10" customFormat="1" ht="24.95" customHeight="1" thickBot="1">
      <c r="A19" s="258"/>
      <c r="B19" s="259"/>
      <c r="C19" s="21" t="s">
        <v>13</v>
      </c>
      <c r="D19" s="9">
        <f>SUM(D7:D18)</f>
        <v>180139180</v>
      </c>
      <c r="E19" s="9">
        <f t="shared" ref="E19:F19" si="0">SUM(E7:E18)</f>
        <v>217544380</v>
      </c>
      <c r="F19" s="9">
        <f t="shared" si="0"/>
        <v>37405200</v>
      </c>
      <c r="G19" s="251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3"/>
    </row>
    <row r="20" spans="1:19" s="3" customFormat="1" ht="24.95" customHeight="1" thickTop="1">
      <c r="A20" s="260" t="s">
        <v>45</v>
      </c>
      <c r="B20" s="239" t="s">
        <v>46</v>
      </c>
      <c r="C20" s="239" t="s">
        <v>47</v>
      </c>
      <c r="D20" s="230">
        <v>153097850</v>
      </c>
      <c r="E20" s="230">
        <f>S24</f>
        <v>188891150</v>
      </c>
      <c r="F20" s="230">
        <f>E20-D20</f>
        <v>35793300</v>
      </c>
      <c r="G20" s="248" t="s">
        <v>14</v>
      </c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50"/>
    </row>
    <row r="21" spans="1:19" s="3" customFormat="1" ht="24.95" customHeight="1">
      <c r="A21" s="261"/>
      <c r="B21" s="240"/>
      <c r="C21" s="240"/>
      <c r="D21" s="213"/>
      <c r="E21" s="213"/>
      <c r="F21" s="215"/>
      <c r="G21" s="20" t="s">
        <v>40</v>
      </c>
      <c r="H21" s="245">
        <v>8500</v>
      </c>
      <c r="I21" s="245"/>
      <c r="J21" s="224" t="s">
        <v>8</v>
      </c>
      <c r="K21" s="224"/>
      <c r="L21" s="224"/>
      <c r="M21" s="224"/>
      <c r="N21" s="224"/>
      <c r="O21" s="224"/>
      <c r="P21" s="224"/>
      <c r="Q21" s="224"/>
      <c r="R21" s="224"/>
      <c r="S21" s="4">
        <f>40*8500*365</f>
        <v>124100000</v>
      </c>
    </row>
    <row r="22" spans="1:19" s="3" customFormat="1" ht="24.95" customHeight="1">
      <c r="A22" s="261"/>
      <c r="B22" s="240"/>
      <c r="C22" s="240"/>
      <c r="D22" s="213"/>
      <c r="E22" s="213"/>
      <c r="F22" s="215"/>
      <c r="G22" s="220" t="s">
        <v>15</v>
      </c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5"/>
    </row>
    <row r="23" spans="1:19" s="3" customFormat="1" ht="24.95" customHeight="1">
      <c r="A23" s="261"/>
      <c r="B23" s="240"/>
      <c r="C23" s="240"/>
      <c r="D23" s="213"/>
      <c r="E23" s="213"/>
      <c r="F23" s="215"/>
      <c r="G23" s="20" t="s">
        <v>16</v>
      </c>
      <c r="H23" s="245">
        <v>59170</v>
      </c>
      <c r="I23" s="245"/>
      <c r="J23" s="224" t="s">
        <v>8</v>
      </c>
      <c r="K23" s="224"/>
      <c r="L23" s="224"/>
      <c r="M23" s="224"/>
      <c r="N23" s="224"/>
      <c r="O23" s="224"/>
      <c r="P23" s="224"/>
      <c r="Q23" s="224"/>
      <c r="R23" s="224"/>
      <c r="S23" s="4">
        <f>3*59170*365</f>
        <v>64791150</v>
      </c>
    </row>
    <row r="24" spans="1:19" s="3" customFormat="1" ht="24.95" customHeight="1">
      <c r="A24" s="261"/>
      <c r="B24" s="240"/>
      <c r="C24" s="241"/>
      <c r="D24" s="214"/>
      <c r="E24" s="214"/>
      <c r="F24" s="216"/>
      <c r="G24" s="19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11">
        <f>S21+S23</f>
        <v>188891150</v>
      </c>
    </row>
    <row r="25" spans="1:19" s="3" customFormat="1" ht="24.95" customHeight="1">
      <c r="A25" s="261"/>
      <c r="B25" s="240"/>
      <c r="C25" s="263" t="s">
        <v>48</v>
      </c>
      <c r="D25" s="212">
        <v>88200000</v>
      </c>
      <c r="E25" s="212">
        <f>S31</f>
        <v>111600000</v>
      </c>
      <c r="F25" s="212">
        <f>E25-D25</f>
        <v>23400000</v>
      </c>
      <c r="G25" s="217" t="s">
        <v>41</v>
      </c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9"/>
    </row>
    <row r="26" spans="1:19" s="3" customFormat="1" ht="24.95" customHeight="1">
      <c r="A26" s="261"/>
      <c r="B26" s="240"/>
      <c r="C26" s="240"/>
      <c r="D26" s="213"/>
      <c r="E26" s="213"/>
      <c r="F26" s="213"/>
      <c r="G26" s="223" t="s">
        <v>269</v>
      </c>
      <c r="H26" s="224"/>
      <c r="I26" s="245">
        <v>150000</v>
      </c>
      <c r="J26" s="245"/>
      <c r="K26" s="224" t="s">
        <v>17</v>
      </c>
      <c r="L26" s="224"/>
      <c r="M26" s="224"/>
      <c r="N26" s="224"/>
      <c r="O26" s="224"/>
      <c r="P26" s="224"/>
      <c r="Q26" s="224"/>
      <c r="R26" s="224"/>
      <c r="S26" s="4">
        <f>46*150000*12</f>
        <v>82800000</v>
      </c>
    </row>
    <row r="27" spans="1:19" s="3" customFormat="1" ht="24.95" customHeight="1">
      <c r="A27" s="261"/>
      <c r="B27" s="240"/>
      <c r="C27" s="240"/>
      <c r="D27" s="213"/>
      <c r="E27" s="213"/>
      <c r="F27" s="213"/>
      <c r="G27" s="220" t="s">
        <v>18</v>
      </c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5"/>
    </row>
    <row r="28" spans="1:19" s="3" customFormat="1" ht="24.95" customHeight="1">
      <c r="A28" s="261"/>
      <c r="B28" s="240"/>
      <c r="C28" s="240"/>
      <c r="D28" s="213"/>
      <c r="E28" s="213"/>
      <c r="F28" s="213"/>
      <c r="G28" s="223" t="s">
        <v>19</v>
      </c>
      <c r="H28" s="224"/>
      <c r="I28" s="245">
        <v>40000</v>
      </c>
      <c r="J28" s="245"/>
      <c r="K28" s="224" t="s">
        <v>17</v>
      </c>
      <c r="L28" s="224"/>
      <c r="M28" s="224"/>
      <c r="N28" s="224"/>
      <c r="O28" s="224"/>
      <c r="P28" s="224"/>
      <c r="Q28" s="224"/>
      <c r="R28" s="224"/>
      <c r="S28" s="4">
        <f>15*40000*12</f>
        <v>7200000</v>
      </c>
    </row>
    <row r="29" spans="1:19" s="3" customFormat="1" ht="24.95" customHeight="1">
      <c r="A29" s="261"/>
      <c r="B29" s="240"/>
      <c r="C29" s="240"/>
      <c r="D29" s="213"/>
      <c r="E29" s="213"/>
      <c r="F29" s="213"/>
      <c r="G29" s="220" t="s">
        <v>20</v>
      </c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5"/>
    </row>
    <row r="30" spans="1:19" s="3" customFormat="1" ht="24.95" customHeight="1">
      <c r="A30" s="261"/>
      <c r="B30" s="240"/>
      <c r="C30" s="240"/>
      <c r="D30" s="213"/>
      <c r="E30" s="213"/>
      <c r="F30" s="213"/>
      <c r="G30" s="223" t="s">
        <v>35</v>
      </c>
      <c r="H30" s="224"/>
      <c r="I30" s="245">
        <v>60000</v>
      </c>
      <c r="J30" s="245"/>
      <c r="K30" s="224" t="s">
        <v>17</v>
      </c>
      <c r="L30" s="224"/>
      <c r="M30" s="224"/>
      <c r="N30" s="224"/>
      <c r="O30" s="224"/>
      <c r="P30" s="224"/>
      <c r="Q30" s="224"/>
      <c r="R30" s="224"/>
      <c r="S30" s="4">
        <f>30*60000*12</f>
        <v>21600000</v>
      </c>
    </row>
    <row r="31" spans="1:19" s="3" customFormat="1" ht="24.95" customHeight="1">
      <c r="A31" s="262"/>
      <c r="B31" s="241"/>
      <c r="C31" s="241"/>
      <c r="D31" s="214"/>
      <c r="E31" s="214"/>
      <c r="F31" s="214"/>
      <c r="G31" s="264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11">
        <f>S26+S28+S30</f>
        <v>111600000</v>
      </c>
    </row>
    <row r="32" spans="1:19" s="10" customFormat="1" ht="24.95" customHeight="1" thickBot="1">
      <c r="A32" s="225"/>
      <c r="B32" s="226"/>
      <c r="C32" s="8" t="s">
        <v>13</v>
      </c>
      <c r="D32" s="9">
        <f>SUM(D20:D31)</f>
        <v>241297850</v>
      </c>
      <c r="E32" s="9">
        <f t="shared" ref="E32:F32" si="1">SUM(E20:E31)</f>
        <v>300491150</v>
      </c>
      <c r="F32" s="9">
        <f t="shared" si="1"/>
        <v>59193300</v>
      </c>
      <c r="G32" s="251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3"/>
    </row>
    <row r="33" spans="1:19" s="3" customFormat="1" ht="24.95" customHeight="1" thickTop="1">
      <c r="A33" s="236" t="s">
        <v>49</v>
      </c>
      <c r="B33" s="239" t="s">
        <v>50</v>
      </c>
      <c r="C33" s="239" t="s">
        <v>54</v>
      </c>
      <c r="D33" s="230">
        <v>24000000</v>
      </c>
      <c r="E33" s="230">
        <f>S39</f>
        <v>19500000</v>
      </c>
      <c r="F33" s="230">
        <f>E33-D33</f>
        <v>-4500000</v>
      </c>
      <c r="G33" s="248" t="s">
        <v>51</v>
      </c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50"/>
    </row>
    <row r="34" spans="1:19" s="3" customFormat="1" ht="24.95" customHeight="1">
      <c r="A34" s="237"/>
      <c r="B34" s="240"/>
      <c r="C34" s="240"/>
      <c r="D34" s="213"/>
      <c r="E34" s="213"/>
      <c r="F34" s="213"/>
      <c r="G34" s="223" t="s">
        <v>84</v>
      </c>
      <c r="H34" s="224"/>
      <c r="I34" s="224"/>
      <c r="J34" s="17"/>
      <c r="K34" s="17"/>
      <c r="L34" s="224"/>
      <c r="M34" s="224"/>
      <c r="N34" s="224"/>
      <c r="O34" s="224"/>
      <c r="P34" s="224"/>
      <c r="Q34" s="224"/>
      <c r="R34" s="224"/>
      <c r="S34" s="44">
        <v>12000000</v>
      </c>
    </row>
    <row r="35" spans="1:19" s="3" customFormat="1" ht="24.95" customHeight="1">
      <c r="A35" s="237"/>
      <c r="B35" s="240"/>
      <c r="C35" s="240"/>
      <c r="D35" s="213"/>
      <c r="E35" s="213"/>
      <c r="F35" s="213"/>
      <c r="G35" s="223" t="s">
        <v>85</v>
      </c>
      <c r="H35" s="224"/>
      <c r="I35" s="224"/>
      <c r="J35" s="17"/>
      <c r="K35" s="17"/>
      <c r="L35" s="224"/>
      <c r="M35" s="224"/>
      <c r="N35" s="224"/>
      <c r="O35" s="224"/>
      <c r="P35" s="224"/>
      <c r="Q35" s="224"/>
      <c r="R35" s="224"/>
      <c r="S35" s="44">
        <v>2500000</v>
      </c>
    </row>
    <row r="36" spans="1:19" s="3" customFormat="1" ht="24.95" customHeight="1">
      <c r="A36" s="237"/>
      <c r="B36" s="240"/>
      <c r="C36" s="240"/>
      <c r="D36" s="213"/>
      <c r="E36" s="213"/>
      <c r="F36" s="213"/>
      <c r="G36" s="223" t="s">
        <v>86</v>
      </c>
      <c r="H36" s="224"/>
      <c r="I36" s="224"/>
      <c r="J36" s="17"/>
      <c r="K36" s="17"/>
      <c r="L36" s="18"/>
      <c r="M36" s="18"/>
      <c r="N36" s="18"/>
      <c r="O36" s="18"/>
      <c r="P36" s="18"/>
      <c r="Q36" s="18"/>
      <c r="R36" s="18"/>
      <c r="S36" s="44">
        <v>3000000</v>
      </c>
    </row>
    <row r="37" spans="1:19" s="3" customFormat="1" ht="24.95" customHeight="1">
      <c r="A37" s="237"/>
      <c r="B37" s="240"/>
      <c r="C37" s="240"/>
      <c r="D37" s="213"/>
      <c r="E37" s="213"/>
      <c r="F37" s="213"/>
      <c r="G37" s="220" t="s">
        <v>52</v>
      </c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2"/>
    </row>
    <row r="38" spans="1:19" s="3" customFormat="1" ht="24.95" customHeight="1">
      <c r="A38" s="237"/>
      <c r="B38" s="240"/>
      <c r="C38" s="240"/>
      <c r="D38" s="213"/>
      <c r="E38" s="213"/>
      <c r="F38" s="213"/>
      <c r="G38" s="16"/>
      <c r="H38" s="17"/>
      <c r="I38" s="17"/>
      <c r="J38" s="17"/>
      <c r="K38" s="17"/>
      <c r="L38" s="224"/>
      <c r="M38" s="224"/>
      <c r="N38" s="224"/>
      <c r="O38" s="224"/>
      <c r="P38" s="224"/>
      <c r="Q38" s="224"/>
      <c r="R38" s="224"/>
      <c r="S38" s="44">
        <v>2000000</v>
      </c>
    </row>
    <row r="39" spans="1:19" s="3" customFormat="1" ht="24.95" customHeight="1">
      <c r="A39" s="237"/>
      <c r="B39" s="240"/>
      <c r="C39" s="241"/>
      <c r="D39" s="214"/>
      <c r="E39" s="214"/>
      <c r="F39" s="214"/>
      <c r="G39" s="29"/>
      <c r="H39" s="33"/>
      <c r="I39" s="33"/>
      <c r="J39" s="33"/>
      <c r="K39" s="33"/>
      <c r="L39" s="254"/>
      <c r="M39" s="254"/>
      <c r="N39" s="254"/>
      <c r="O39" s="254"/>
      <c r="P39" s="254"/>
      <c r="Q39" s="254"/>
      <c r="R39" s="254"/>
      <c r="S39" s="45">
        <f>S34+S35+S36+S38</f>
        <v>19500000</v>
      </c>
    </row>
    <row r="40" spans="1:19" s="3" customFormat="1" ht="23.85" customHeight="1">
      <c r="A40" s="237"/>
      <c r="B40" s="240"/>
      <c r="C40" s="263" t="s">
        <v>55</v>
      </c>
      <c r="D40" s="212">
        <v>21000000</v>
      </c>
      <c r="E40" s="212">
        <f>S42</f>
        <v>5000000</v>
      </c>
      <c r="F40" s="212">
        <f>E40-D40</f>
        <v>-16000000</v>
      </c>
      <c r="G40" s="255" t="s">
        <v>53</v>
      </c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37"/>
    </row>
    <row r="41" spans="1:19" s="3" customFormat="1" ht="23.85" customHeight="1">
      <c r="A41" s="237"/>
      <c r="B41" s="240"/>
      <c r="C41" s="240"/>
      <c r="D41" s="213"/>
      <c r="E41" s="213"/>
      <c r="F41" s="215"/>
      <c r="G41" s="38"/>
      <c r="H41" s="53"/>
      <c r="I41" s="53"/>
      <c r="J41" s="53"/>
      <c r="K41" s="53"/>
      <c r="L41" s="257"/>
      <c r="M41" s="257"/>
      <c r="N41" s="257"/>
      <c r="O41" s="257"/>
      <c r="P41" s="257"/>
      <c r="Q41" s="257"/>
      <c r="R41" s="257"/>
      <c r="S41" s="43">
        <v>5000000</v>
      </c>
    </row>
    <row r="42" spans="1:19" s="3" customFormat="1" ht="23.85" customHeight="1">
      <c r="A42" s="238"/>
      <c r="B42" s="241"/>
      <c r="C42" s="241"/>
      <c r="D42" s="214"/>
      <c r="E42" s="214"/>
      <c r="F42" s="216"/>
      <c r="G42" s="29"/>
      <c r="H42" s="30"/>
      <c r="I42" s="30"/>
      <c r="J42" s="30"/>
      <c r="K42" s="30"/>
      <c r="L42" s="32">
        <v>21000000</v>
      </c>
      <c r="M42" s="32"/>
      <c r="N42" s="32"/>
      <c r="O42" s="32"/>
      <c r="P42" s="32"/>
      <c r="Q42" s="32"/>
      <c r="R42" s="32"/>
      <c r="S42" s="34">
        <f>S41</f>
        <v>5000000</v>
      </c>
    </row>
    <row r="43" spans="1:19" s="10" customFormat="1" ht="23.85" customHeight="1" thickBot="1">
      <c r="A43" s="225"/>
      <c r="B43" s="226"/>
      <c r="C43" s="8" t="s">
        <v>13</v>
      </c>
      <c r="D43" s="9">
        <f>SUM(D33:D42)</f>
        <v>45000000</v>
      </c>
      <c r="E43" s="9">
        <f t="shared" ref="E43:F43" si="2">SUM(E33:E42)</f>
        <v>24500000</v>
      </c>
      <c r="F43" s="9">
        <f t="shared" si="2"/>
        <v>-20500000</v>
      </c>
      <c r="G43" s="227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9"/>
    </row>
    <row r="44" spans="1:19" s="3" customFormat="1" ht="24.95" customHeight="1" thickTop="1">
      <c r="A44" s="236" t="s">
        <v>56</v>
      </c>
      <c r="B44" s="239" t="s">
        <v>57</v>
      </c>
      <c r="C44" s="239" t="s">
        <v>58</v>
      </c>
      <c r="D44" s="230">
        <v>1178924100</v>
      </c>
      <c r="E44" s="230">
        <f>S62</f>
        <v>1390396470</v>
      </c>
      <c r="F44" s="230">
        <f>E44-D44</f>
        <v>211472370</v>
      </c>
      <c r="G44" s="248" t="s">
        <v>21</v>
      </c>
      <c r="H44" s="249"/>
      <c r="I44" s="249"/>
      <c r="J44" s="249"/>
      <c r="K44" s="249"/>
      <c r="L44" s="249"/>
      <c r="M44" s="249"/>
      <c r="N44" s="249"/>
      <c r="O44" s="249"/>
      <c r="P44" s="249"/>
      <c r="Q44" s="249"/>
      <c r="R44" s="249"/>
      <c r="S44" s="250"/>
    </row>
    <row r="45" spans="1:19" s="3" customFormat="1" ht="24.95" customHeight="1">
      <c r="A45" s="237"/>
      <c r="B45" s="240"/>
      <c r="C45" s="240"/>
      <c r="D45" s="213"/>
      <c r="E45" s="213"/>
      <c r="F45" s="213"/>
      <c r="G45" s="20" t="s">
        <v>36</v>
      </c>
      <c r="H45" s="245">
        <v>69150</v>
      </c>
      <c r="I45" s="245"/>
      <c r="J45" s="224" t="s">
        <v>8</v>
      </c>
      <c r="K45" s="224"/>
      <c r="L45" s="247">
        <v>0.8</v>
      </c>
      <c r="M45" s="247"/>
      <c r="N45" s="247"/>
      <c r="O45" s="247"/>
      <c r="P45" s="247"/>
      <c r="Q45" s="247"/>
      <c r="R45" s="247"/>
      <c r="S45" s="4">
        <f>2*69150*365*80%</f>
        <v>40383600</v>
      </c>
    </row>
    <row r="46" spans="1:19" s="3" customFormat="1" ht="24.95" customHeight="1">
      <c r="A46" s="237"/>
      <c r="B46" s="240"/>
      <c r="C46" s="240"/>
      <c r="D46" s="213"/>
      <c r="E46" s="213"/>
      <c r="F46" s="213"/>
      <c r="G46" s="220" t="s">
        <v>22</v>
      </c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5"/>
    </row>
    <row r="47" spans="1:19" s="3" customFormat="1" ht="24.95" customHeight="1">
      <c r="A47" s="237"/>
      <c r="B47" s="240"/>
      <c r="C47" s="240"/>
      <c r="D47" s="213"/>
      <c r="E47" s="213"/>
      <c r="F47" s="213"/>
      <c r="G47" s="20" t="s">
        <v>59</v>
      </c>
      <c r="H47" s="245">
        <v>64170</v>
      </c>
      <c r="I47" s="245"/>
      <c r="J47" s="224" t="s">
        <v>8</v>
      </c>
      <c r="K47" s="224"/>
      <c r="L47" s="247">
        <v>0.8</v>
      </c>
      <c r="M47" s="247"/>
      <c r="N47" s="247"/>
      <c r="O47" s="247"/>
      <c r="P47" s="247"/>
      <c r="Q47" s="247"/>
      <c r="R47" s="247"/>
      <c r="S47" s="4">
        <f>12*64170*365*80%</f>
        <v>224851680</v>
      </c>
    </row>
    <row r="48" spans="1:19" s="3" customFormat="1" ht="24.95" customHeight="1">
      <c r="A48" s="237"/>
      <c r="B48" s="240"/>
      <c r="C48" s="240"/>
      <c r="D48" s="213"/>
      <c r="E48" s="213"/>
      <c r="F48" s="213"/>
      <c r="G48" s="220" t="s">
        <v>23</v>
      </c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5"/>
    </row>
    <row r="49" spans="1:19" s="3" customFormat="1" ht="24.95" customHeight="1">
      <c r="A49" s="237"/>
      <c r="B49" s="240"/>
      <c r="C49" s="240"/>
      <c r="D49" s="213"/>
      <c r="E49" s="213"/>
      <c r="F49" s="213"/>
      <c r="G49" s="20" t="s">
        <v>38</v>
      </c>
      <c r="H49" s="245">
        <v>59170</v>
      </c>
      <c r="I49" s="245"/>
      <c r="J49" s="224" t="s">
        <v>8</v>
      </c>
      <c r="K49" s="224"/>
      <c r="L49" s="247">
        <v>0.8</v>
      </c>
      <c r="M49" s="247"/>
      <c r="N49" s="247"/>
      <c r="O49" s="247"/>
      <c r="P49" s="247"/>
      <c r="Q49" s="247"/>
      <c r="R49" s="247"/>
      <c r="S49" s="4">
        <f>10*59170*365*80%</f>
        <v>172776400</v>
      </c>
    </row>
    <row r="50" spans="1:19" s="3" customFormat="1" ht="24.95" customHeight="1">
      <c r="A50" s="237"/>
      <c r="B50" s="240"/>
      <c r="C50" s="240"/>
      <c r="D50" s="213"/>
      <c r="E50" s="213"/>
      <c r="F50" s="213"/>
      <c r="G50" s="220" t="s">
        <v>24</v>
      </c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5"/>
    </row>
    <row r="51" spans="1:19" s="3" customFormat="1" ht="24.95" customHeight="1">
      <c r="A51" s="237"/>
      <c r="B51" s="240"/>
      <c r="C51" s="240"/>
      <c r="D51" s="213"/>
      <c r="E51" s="213"/>
      <c r="F51" s="213"/>
      <c r="G51" s="20" t="s">
        <v>39</v>
      </c>
      <c r="H51" s="245">
        <v>59170</v>
      </c>
      <c r="I51" s="245"/>
      <c r="J51" s="224" t="s">
        <v>8</v>
      </c>
      <c r="K51" s="224"/>
      <c r="L51" s="247">
        <v>0.8</v>
      </c>
      <c r="M51" s="247"/>
      <c r="N51" s="247"/>
      <c r="O51" s="247"/>
      <c r="P51" s="247"/>
      <c r="Q51" s="247"/>
      <c r="R51" s="247"/>
      <c r="S51" s="4">
        <f>6*59170*365*80%</f>
        <v>103665840</v>
      </c>
    </row>
    <row r="52" spans="1:19" s="3" customFormat="1" ht="24.95" customHeight="1">
      <c r="A52" s="237"/>
      <c r="B52" s="240"/>
      <c r="C52" s="240"/>
      <c r="D52" s="213"/>
      <c r="E52" s="213"/>
      <c r="F52" s="213"/>
      <c r="G52" s="220" t="s">
        <v>25</v>
      </c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5"/>
    </row>
    <row r="53" spans="1:19" s="3" customFormat="1" ht="24.95" customHeight="1">
      <c r="A53" s="237"/>
      <c r="B53" s="240"/>
      <c r="C53" s="240"/>
      <c r="D53" s="213"/>
      <c r="E53" s="213"/>
      <c r="F53" s="213"/>
      <c r="G53" s="20" t="s">
        <v>16</v>
      </c>
      <c r="H53" s="245">
        <v>69150</v>
      </c>
      <c r="I53" s="245"/>
      <c r="J53" s="224" t="s">
        <v>8</v>
      </c>
      <c r="K53" s="224"/>
      <c r="L53" s="224"/>
      <c r="M53" s="224"/>
      <c r="N53" s="224"/>
      <c r="O53" s="224"/>
      <c r="P53" s="224"/>
      <c r="Q53" s="224"/>
      <c r="R53" s="224"/>
      <c r="S53" s="4">
        <f>3*69150*365</f>
        <v>75719250</v>
      </c>
    </row>
    <row r="54" spans="1:19" s="3" customFormat="1" ht="24.95" customHeight="1">
      <c r="A54" s="237"/>
      <c r="B54" s="240"/>
      <c r="C54" s="240"/>
      <c r="D54" s="213"/>
      <c r="E54" s="213"/>
      <c r="F54" s="213"/>
      <c r="G54" s="220" t="s">
        <v>26</v>
      </c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5"/>
    </row>
    <row r="55" spans="1:19" s="3" customFormat="1" ht="24.95" customHeight="1">
      <c r="A55" s="237"/>
      <c r="B55" s="240"/>
      <c r="C55" s="240"/>
      <c r="D55" s="213"/>
      <c r="E55" s="213"/>
      <c r="F55" s="213"/>
      <c r="G55" s="20" t="s">
        <v>59</v>
      </c>
      <c r="H55" s="245">
        <v>64170</v>
      </c>
      <c r="I55" s="245"/>
      <c r="J55" s="224" t="s">
        <v>8</v>
      </c>
      <c r="K55" s="224"/>
      <c r="L55" s="224"/>
      <c r="M55" s="224"/>
      <c r="N55" s="224"/>
      <c r="O55" s="224"/>
      <c r="P55" s="224"/>
      <c r="Q55" s="224"/>
      <c r="R55" s="224"/>
      <c r="S55" s="4">
        <f>12*64170*365</f>
        <v>281064600</v>
      </c>
    </row>
    <row r="56" spans="1:19" s="3" customFormat="1" ht="24.95" customHeight="1">
      <c r="A56" s="237"/>
      <c r="B56" s="240"/>
      <c r="C56" s="240"/>
      <c r="D56" s="213"/>
      <c r="E56" s="213"/>
      <c r="F56" s="213"/>
      <c r="G56" s="220" t="s">
        <v>27</v>
      </c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5"/>
    </row>
    <row r="57" spans="1:19" s="3" customFormat="1" ht="24.95" customHeight="1">
      <c r="A57" s="237"/>
      <c r="B57" s="240"/>
      <c r="C57" s="240"/>
      <c r="D57" s="213"/>
      <c r="E57" s="213"/>
      <c r="F57" s="213"/>
      <c r="G57" s="20" t="s">
        <v>60</v>
      </c>
      <c r="H57" s="245">
        <v>59170</v>
      </c>
      <c r="I57" s="245"/>
      <c r="J57" s="224" t="s">
        <v>8</v>
      </c>
      <c r="K57" s="224"/>
      <c r="L57" s="224"/>
      <c r="M57" s="224"/>
      <c r="N57" s="224"/>
      <c r="O57" s="224"/>
      <c r="P57" s="224"/>
      <c r="Q57" s="224"/>
      <c r="R57" s="224"/>
      <c r="S57" s="4">
        <f>10*59170*365</f>
        <v>215970500</v>
      </c>
    </row>
    <row r="58" spans="1:19" s="3" customFormat="1" ht="24.95" customHeight="1">
      <c r="A58" s="237"/>
      <c r="B58" s="240"/>
      <c r="C58" s="240"/>
      <c r="D58" s="213"/>
      <c r="E58" s="213"/>
      <c r="F58" s="213"/>
      <c r="G58" s="220" t="s">
        <v>28</v>
      </c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5"/>
    </row>
    <row r="59" spans="1:19" s="3" customFormat="1" ht="24.95" customHeight="1">
      <c r="A59" s="237"/>
      <c r="B59" s="240"/>
      <c r="C59" s="240"/>
      <c r="D59" s="213"/>
      <c r="E59" s="213"/>
      <c r="F59" s="213"/>
      <c r="G59" s="20" t="s">
        <v>61</v>
      </c>
      <c r="H59" s="245">
        <v>59170</v>
      </c>
      <c r="I59" s="245"/>
      <c r="J59" s="224" t="s">
        <v>8</v>
      </c>
      <c r="K59" s="224"/>
      <c r="L59" s="224"/>
      <c r="M59" s="224"/>
      <c r="N59" s="224"/>
      <c r="O59" s="224"/>
      <c r="P59" s="224"/>
      <c r="Q59" s="224"/>
      <c r="R59" s="224"/>
      <c r="S59" s="4">
        <f>12*59170*365</f>
        <v>259164600</v>
      </c>
    </row>
    <row r="60" spans="1:19" s="3" customFormat="1" ht="24.95" customHeight="1">
      <c r="A60" s="237"/>
      <c r="B60" s="240"/>
      <c r="C60" s="240"/>
      <c r="D60" s="213"/>
      <c r="E60" s="213"/>
      <c r="F60" s="213"/>
      <c r="G60" s="220" t="s">
        <v>29</v>
      </c>
      <c r="H60" s="221"/>
      <c r="I60" s="221"/>
      <c r="J60" s="224"/>
      <c r="K60" s="224"/>
      <c r="L60" s="224"/>
      <c r="M60" s="224"/>
      <c r="N60" s="224"/>
      <c r="O60" s="224"/>
      <c r="P60" s="224"/>
      <c r="Q60" s="224"/>
      <c r="R60" s="224"/>
      <c r="S60" s="5"/>
    </row>
    <row r="61" spans="1:19" s="3" customFormat="1" ht="24.95" customHeight="1">
      <c r="A61" s="237"/>
      <c r="B61" s="240"/>
      <c r="C61" s="240"/>
      <c r="D61" s="213"/>
      <c r="E61" s="213"/>
      <c r="F61" s="213"/>
      <c r="G61" s="42" t="s">
        <v>198</v>
      </c>
      <c r="H61" s="245">
        <v>70000</v>
      </c>
      <c r="I61" s="245"/>
      <c r="J61" s="224" t="s">
        <v>17</v>
      </c>
      <c r="K61" s="224"/>
      <c r="L61" s="224"/>
      <c r="M61" s="224"/>
      <c r="N61" s="224"/>
      <c r="O61" s="224"/>
      <c r="P61" s="224"/>
      <c r="Q61" s="224"/>
      <c r="R61" s="224"/>
      <c r="S61" s="4">
        <f>20*70000*12</f>
        <v>16800000</v>
      </c>
    </row>
    <row r="62" spans="1:19" s="3" customFormat="1" ht="24.95" customHeight="1">
      <c r="A62" s="238"/>
      <c r="B62" s="241"/>
      <c r="C62" s="241"/>
      <c r="D62" s="214"/>
      <c r="E62" s="214"/>
      <c r="F62" s="214"/>
      <c r="G62" s="19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11">
        <f>S45+S47+S49+S51+S53+S55+S57+S59+S61</f>
        <v>1390396470</v>
      </c>
    </row>
    <row r="63" spans="1:19" s="10" customFormat="1" ht="23.85" customHeight="1" thickBot="1">
      <c r="A63" s="225"/>
      <c r="B63" s="226"/>
      <c r="C63" s="8" t="s">
        <v>13</v>
      </c>
      <c r="D63" s="9">
        <f>SUM(D44)</f>
        <v>1178924100</v>
      </c>
      <c r="E63" s="9">
        <f t="shared" ref="E63:F63" si="3">SUM(E44)</f>
        <v>1390396470</v>
      </c>
      <c r="F63" s="9">
        <f t="shared" si="3"/>
        <v>211472370</v>
      </c>
      <c r="G63" s="227"/>
      <c r="H63" s="228"/>
      <c r="I63" s="228"/>
      <c r="J63" s="228"/>
      <c r="K63" s="228"/>
      <c r="L63" s="228"/>
      <c r="M63" s="228"/>
      <c r="N63" s="228"/>
      <c r="O63" s="228"/>
      <c r="P63" s="228"/>
      <c r="Q63" s="228"/>
      <c r="R63" s="228"/>
      <c r="S63" s="229"/>
    </row>
    <row r="64" spans="1:19" s="3" customFormat="1" ht="24.95" customHeight="1" thickTop="1">
      <c r="A64" s="236" t="s">
        <v>62</v>
      </c>
      <c r="B64" s="239" t="s">
        <v>63</v>
      </c>
      <c r="C64" s="239" t="s">
        <v>64</v>
      </c>
      <c r="D64" s="230">
        <v>15000000</v>
      </c>
      <c r="E64" s="230">
        <f>S66</f>
        <v>5000000</v>
      </c>
      <c r="F64" s="230">
        <f>E64-D64</f>
        <v>-10000000</v>
      </c>
      <c r="G64" s="234" t="s">
        <v>30</v>
      </c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5"/>
      <c r="S64" s="39"/>
    </row>
    <row r="65" spans="1:19" s="3" customFormat="1" ht="24.95" customHeight="1">
      <c r="A65" s="237"/>
      <c r="B65" s="240"/>
      <c r="C65" s="240"/>
      <c r="D65" s="213"/>
      <c r="E65" s="213"/>
      <c r="F65" s="213"/>
      <c r="G65" s="36"/>
      <c r="H65" s="27"/>
      <c r="I65" s="27"/>
      <c r="J65" s="27"/>
      <c r="K65" s="27"/>
      <c r="L65" s="224"/>
      <c r="M65" s="224"/>
      <c r="N65" s="224"/>
      <c r="O65" s="224"/>
      <c r="P65" s="224"/>
      <c r="Q65" s="224"/>
      <c r="R65" s="224"/>
      <c r="S65" s="44">
        <v>5000000</v>
      </c>
    </row>
    <row r="66" spans="1:19" s="3" customFormat="1" ht="24.95" customHeight="1">
      <c r="A66" s="238"/>
      <c r="B66" s="241"/>
      <c r="C66" s="241"/>
      <c r="D66" s="214"/>
      <c r="E66" s="214"/>
      <c r="F66" s="214"/>
      <c r="G66" s="29"/>
      <c r="H66" s="30"/>
      <c r="I66" s="30"/>
      <c r="J66" s="30"/>
      <c r="K66" s="30"/>
      <c r="L66" s="40"/>
      <c r="M66" s="40"/>
      <c r="N66" s="40"/>
      <c r="O66" s="32">
        <v>15000000</v>
      </c>
      <c r="P66" s="32"/>
      <c r="Q66" s="32"/>
      <c r="R66" s="32"/>
      <c r="S66" s="31">
        <f>S65</f>
        <v>5000000</v>
      </c>
    </row>
    <row r="67" spans="1:19" s="10" customFormat="1" ht="23.85" customHeight="1" thickBot="1">
      <c r="A67" s="225"/>
      <c r="B67" s="226"/>
      <c r="C67" s="8" t="s">
        <v>13</v>
      </c>
      <c r="D67" s="9">
        <f>SUM(D64)</f>
        <v>15000000</v>
      </c>
      <c r="E67" s="9">
        <f t="shared" ref="E67:F67" si="4">SUM(E64)</f>
        <v>5000000</v>
      </c>
      <c r="F67" s="9">
        <f t="shared" si="4"/>
        <v>-10000000</v>
      </c>
      <c r="G67" s="227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9"/>
    </row>
    <row r="68" spans="1:19" s="3" customFormat="1" ht="24.95" customHeight="1" thickTop="1">
      <c r="A68" s="293" t="s">
        <v>67</v>
      </c>
      <c r="B68" s="296" t="s">
        <v>68</v>
      </c>
      <c r="C68" s="239" t="s">
        <v>69</v>
      </c>
      <c r="D68" s="230">
        <v>5000000</v>
      </c>
      <c r="E68" s="230">
        <f>S70</f>
        <v>5000000</v>
      </c>
      <c r="F68" s="242">
        <f>E68-D68</f>
        <v>0</v>
      </c>
      <c r="G68" s="234" t="s">
        <v>65</v>
      </c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39"/>
    </row>
    <row r="69" spans="1:19" s="3" customFormat="1" ht="24.95" customHeight="1">
      <c r="A69" s="294"/>
      <c r="B69" s="291"/>
      <c r="C69" s="240"/>
      <c r="D69" s="213"/>
      <c r="E69" s="213"/>
      <c r="F69" s="243"/>
      <c r="G69" s="36"/>
      <c r="H69" s="27"/>
      <c r="I69" s="27"/>
      <c r="J69" s="27"/>
      <c r="K69" s="27"/>
      <c r="L69" s="224"/>
      <c r="M69" s="224"/>
      <c r="N69" s="224"/>
      <c r="O69" s="224"/>
      <c r="P69" s="224"/>
      <c r="Q69" s="224"/>
      <c r="R69" s="224"/>
      <c r="S69" s="44">
        <v>5000000</v>
      </c>
    </row>
    <row r="70" spans="1:19" s="3" customFormat="1" ht="24.95" customHeight="1">
      <c r="A70" s="294"/>
      <c r="B70" s="291"/>
      <c r="C70" s="241"/>
      <c r="D70" s="214"/>
      <c r="E70" s="214"/>
      <c r="F70" s="244"/>
      <c r="G70" s="29"/>
      <c r="H70" s="30"/>
      <c r="I70" s="30"/>
      <c r="J70" s="30"/>
      <c r="K70" s="30"/>
      <c r="L70" s="30"/>
      <c r="M70" s="32">
        <v>5000000</v>
      </c>
      <c r="N70" s="32"/>
      <c r="O70" s="32"/>
      <c r="P70" s="32"/>
      <c r="Q70" s="32"/>
      <c r="R70" s="32"/>
      <c r="S70" s="34">
        <f>S69</f>
        <v>5000000</v>
      </c>
    </row>
    <row r="71" spans="1:19" s="3" customFormat="1" ht="24.95" customHeight="1">
      <c r="A71" s="294"/>
      <c r="B71" s="291"/>
      <c r="C71" s="263" t="s">
        <v>70</v>
      </c>
      <c r="D71" s="298"/>
      <c r="E71" s="298">
        <f>S73</f>
        <v>5000000</v>
      </c>
      <c r="F71" s="301">
        <f>E71-D71</f>
        <v>5000000</v>
      </c>
      <c r="G71" s="255" t="s">
        <v>66</v>
      </c>
      <c r="H71" s="256"/>
      <c r="I71" s="256"/>
      <c r="J71" s="256"/>
      <c r="K71" s="256"/>
      <c r="L71" s="256"/>
      <c r="M71" s="256"/>
      <c r="N71" s="256"/>
      <c r="O71" s="256"/>
      <c r="P71" s="256"/>
      <c r="Q71" s="256"/>
      <c r="R71" s="256"/>
      <c r="S71" s="22"/>
    </row>
    <row r="72" spans="1:19" s="3" customFormat="1" ht="24.95" customHeight="1">
      <c r="A72" s="294"/>
      <c r="B72" s="291"/>
      <c r="C72" s="240"/>
      <c r="D72" s="299"/>
      <c r="E72" s="299"/>
      <c r="F72" s="243"/>
      <c r="G72" s="16"/>
      <c r="H72" s="17"/>
      <c r="I72" s="17"/>
      <c r="J72" s="17"/>
      <c r="K72" s="17"/>
      <c r="L72" s="17"/>
      <c r="M72" s="41"/>
      <c r="N72" s="41"/>
      <c r="O72" s="41"/>
      <c r="P72" s="41"/>
      <c r="Q72" s="41"/>
      <c r="R72" s="41"/>
      <c r="S72" s="46">
        <v>5000000</v>
      </c>
    </row>
    <row r="73" spans="1:19" s="3" customFormat="1" ht="24.95" customHeight="1">
      <c r="A73" s="295"/>
      <c r="B73" s="297"/>
      <c r="C73" s="241"/>
      <c r="D73" s="300"/>
      <c r="E73" s="300"/>
      <c r="F73" s="244"/>
      <c r="G73" s="16"/>
      <c r="H73" s="17"/>
      <c r="I73" s="17"/>
      <c r="J73" s="17"/>
      <c r="K73" s="17"/>
      <c r="L73" s="17"/>
      <c r="M73" s="41"/>
      <c r="N73" s="41"/>
      <c r="O73" s="41"/>
      <c r="P73" s="41"/>
      <c r="Q73" s="41"/>
      <c r="R73" s="41"/>
      <c r="S73" s="28">
        <f>S72</f>
        <v>5000000</v>
      </c>
    </row>
    <row r="74" spans="1:19" s="10" customFormat="1" ht="23.85" customHeight="1" thickBot="1">
      <c r="A74" s="225"/>
      <c r="B74" s="226"/>
      <c r="C74" s="8" t="s">
        <v>13</v>
      </c>
      <c r="D74" s="9">
        <f>SUM(D68:D73)</f>
        <v>5000000</v>
      </c>
      <c r="E74" s="9">
        <f t="shared" ref="E74:F74" si="5">SUM(E68:E73)</f>
        <v>10000000</v>
      </c>
      <c r="F74" s="9">
        <f t="shared" si="5"/>
        <v>5000000</v>
      </c>
      <c r="G74" s="227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9"/>
    </row>
    <row r="75" spans="1:19" s="3" customFormat="1" ht="24" customHeight="1" thickTop="1">
      <c r="A75" s="236" t="s">
        <v>77</v>
      </c>
      <c r="B75" s="239" t="s">
        <v>78</v>
      </c>
      <c r="C75" s="239" t="s">
        <v>74</v>
      </c>
      <c r="D75" s="230">
        <v>1000000</v>
      </c>
      <c r="E75" s="230">
        <f>S77</f>
        <v>1000000</v>
      </c>
      <c r="F75" s="230">
        <f>E75-D75</f>
        <v>0</v>
      </c>
      <c r="G75" s="234" t="s">
        <v>71</v>
      </c>
      <c r="H75" s="235"/>
      <c r="I75" s="235"/>
      <c r="J75" s="235"/>
      <c r="K75" s="235"/>
      <c r="L75" s="235"/>
      <c r="M75" s="235"/>
      <c r="N75" s="235"/>
      <c r="O75" s="235"/>
      <c r="P75" s="235"/>
      <c r="Q75" s="235"/>
      <c r="R75" s="235"/>
      <c r="S75" s="39"/>
    </row>
    <row r="76" spans="1:19" s="3" customFormat="1" ht="24" customHeight="1">
      <c r="A76" s="237"/>
      <c r="B76" s="240"/>
      <c r="C76" s="240"/>
      <c r="D76" s="213"/>
      <c r="E76" s="213"/>
      <c r="F76" s="215"/>
      <c r="G76" s="36"/>
      <c r="H76" s="27"/>
      <c r="I76" s="27"/>
      <c r="J76" s="27"/>
      <c r="K76" s="27"/>
      <c r="L76" s="224"/>
      <c r="M76" s="224"/>
      <c r="N76" s="224"/>
      <c r="O76" s="224"/>
      <c r="P76" s="224"/>
      <c r="Q76" s="224"/>
      <c r="R76" s="224"/>
      <c r="S76" s="44">
        <v>1000000</v>
      </c>
    </row>
    <row r="77" spans="1:19" s="3" customFormat="1" ht="24" customHeight="1">
      <c r="A77" s="237"/>
      <c r="B77" s="240"/>
      <c r="C77" s="241"/>
      <c r="D77" s="214"/>
      <c r="E77" s="214"/>
      <c r="F77" s="231"/>
      <c r="G77" s="232"/>
      <c r="H77" s="233"/>
      <c r="I77" s="233"/>
      <c r="J77" s="233"/>
      <c r="K77" s="233"/>
      <c r="L77" s="233"/>
      <c r="M77" s="233"/>
      <c r="N77" s="233"/>
      <c r="O77" s="233"/>
      <c r="P77" s="233"/>
      <c r="Q77" s="233"/>
      <c r="R77" s="233"/>
      <c r="S77" s="6">
        <f>S76</f>
        <v>1000000</v>
      </c>
    </row>
    <row r="78" spans="1:19" s="3" customFormat="1" ht="24" customHeight="1">
      <c r="A78" s="237"/>
      <c r="B78" s="240"/>
      <c r="C78" s="263" t="s">
        <v>75</v>
      </c>
      <c r="D78" s="212">
        <v>3000000</v>
      </c>
      <c r="E78" s="212">
        <f>S80</f>
        <v>100000</v>
      </c>
      <c r="F78" s="213">
        <f>E78-D78</f>
        <v>-2900000</v>
      </c>
      <c r="G78" s="255" t="s">
        <v>72</v>
      </c>
      <c r="H78" s="256"/>
      <c r="I78" s="256"/>
      <c r="J78" s="256"/>
      <c r="K78" s="256"/>
      <c r="L78" s="256"/>
      <c r="M78" s="256"/>
      <c r="N78" s="256"/>
      <c r="O78" s="256"/>
      <c r="P78" s="256"/>
      <c r="Q78" s="256"/>
      <c r="R78" s="256"/>
      <c r="S78" s="35"/>
    </row>
    <row r="79" spans="1:19" s="3" customFormat="1" ht="24" customHeight="1">
      <c r="A79" s="237"/>
      <c r="B79" s="240"/>
      <c r="C79" s="240"/>
      <c r="D79" s="213"/>
      <c r="E79" s="213"/>
      <c r="F79" s="215"/>
      <c r="G79" s="47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4">
        <v>100000</v>
      </c>
    </row>
    <row r="80" spans="1:19" s="3" customFormat="1" ht="24" customHeight="1">
      <c r="A80" s="237"/>
      <c r="B80" s="240"/>
      <c r="C80" s="240"/>
      <c r="D80" s="213"/>
      <c r="E80" s="213"/>
      <c r="F80" s="216"/>
      <c r="G80" s="49"/>
      <c r="H80" s="50"/>
      <c r="I80" s="50"/>
      <c r="J80" s="50"/>
      <c r="K80" s="50"/>
      <c r="L80" s="304"/>
      <c r="M80" s="304"/>
      <c r="N80" s="304"/>
      <c r="O80" s="304"/>
      <c r="P80" s="304"/>
      <c r="Q80" s="304"/>
      <c r="R80" s="304"/>
      <c r="S80" s="51">
        <f>S79</f>
        <v>100000</v>
      </c>
    </row>
    <row r="81" spans="1:22" s="3" customFormat="1" ht="23.85" customHeight="1">
      <c r="A81" s="237"/>
      <c r="B81" s="240"/>
      <c r="C81" s="263" t="s">
        <v>76</v>
      </c>
      <c r="D81" s="212">
        <v>0</v>
      </c>
      <c r="E81" s="298">
        <f>S83</f>
        <v>26400000</v>
      </c>
      <c r="F81" s="212">
        <f>E81-D81</f>
        <v>26400000</v>
      </c>
      <c r="G81" s="302" t="s">
        <v>73</v>
      </c>
      <c r="H81" s="303"/>
      <c r="I81" s="303"/>
      <c r="J81" s="303"/>
      <c r="K81" s="303"/>
      <c r="L81" s="303"/>
      <c r="M81" s="303"/>
      <c r="N81" s="303"/>
      <c r="O81" s="303"/>
      <c r="P81" s="303"/>
      <c r="Q81" s="303"/>
      <c r="R81" s="41"/>
      <c r="S81" s="22"/>
    </row>
    <row r="82" spans="1:22" s="3" customFormat="1" ht="23.85" customHeight="1">
      <c r="A82" s="237"/>
      <c r="B82" s="240"/>
      <c r="C82" s="240"/>
      <c r="D82" s="213"/>
      <c r="E82" s="299"/>
      <c r="F82" s="213"/>
      <c r="G82" s="223" t="s">
        <v>87</v>
      </c>
      <c r="H82" s="224"/>
      <c r="I82" s="224" t="s">
        <v>88</v>
      </c>
      <c r="J82" s="224"/>
      <c r="K82" s="17" t="s">
        <v>89</v>
      </c>
      <c r="L82" s="17"/>
      <c r="M82" s="17"/>
      <c r="N82" s="17"/>
      <c r="O82" s="17"/>
      <c r="P82" s="17"/>
      <c r="Q82" s="17"/>
      <c r="R82" s="41"/>
      <c r="S82" s="46">
        <f>44*50000*12</f>
        <v>26400000</v>
      </c>
    </row>
    <row r="83" spans="1:22" s="3" customFormat="1" ht="23.85" customHeight="1">
      <c r="A83" s="237"/>
      <c r="B83" s="240"/>
      <c r="C83" s="241"/>
      <c r="D83" s="214"/>
      <c r="E83" s="300"/>
      <c r="F83" s="214"/>
      <c r="G83" s="16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41"/>
      <c r="S83" s="28">
        <f>S82</f>
        <v>26400000</v>
      </c>
    </row>
    <row r="84" spans="1:22" s="3" customFormat="1" ht="21" customHeight="1">
      <c r="A84" s="237"/>
      <c r="B84" s="240"/>
      <c r="C84" s="263" t="s">
        <v>82</v>
      </c>
      <c r="D84" s="212">
        <v>1650000</v>
      </c>
      <c r="E84" s="212">
        <f>S90</f>
        <v>13440000</v>
      </c>
      <c r="F84" s="212">
        <f>E84-D84</f>
        <v>11790000</v>
      </c>
      <c r="G84" s="217" t="s">
        <v>79</v>
      </c>
      <c r="H84" s="218"/>
      <c r="I84" s="218"/>
      <c r="J84" s="218"/>
      <c r="K84" s="218"/>
      <c r="L84" s="218"/>
      <c r="M84" s="218"/>
      <c r="N84" s="218"/>
      <c r="O84" s="218"/>
      <c r="P84" s="218"/>
      <c r="Q84" s="218"/>
      <c r="R84" s="218"/>
      <c r="S84" s="219"/>
    </row>
    <row r="85" spans="1:22" s="3" customFormat="1" ht="21" customHeight="1">
      <c r="A85" s="237"/>
      <c r="B85" s="240"/>
      <c r="C85" s="240"/>
      <c r="D85" s="213"/>
      <c r="E85" s="213"/>
      <c r="F85" s="213"/>
      <c r="G85" s="16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44">
        <v>10000000</v>
      </c>
      <c r="V85" s="52">
        <f>S85+S87+S89</f>
        <v>13440000</v>
      </c>
    </row>
    <row r="86" spans="1:22" s="3" customFormat="1" ht="21" customHeight="1">
      <c r="A86" s="237"/>
      <c r="B86" s="240"/>
      <c r="C86" s="240"/>
      <c r="D86" s="213"/>
      <c r="E86" s="213"/>
      <c r="F86" s="215"/>
      <c r="G86" s="220" t="s">
        <v>80</v>
      </c>
      <c r="H86" s="221"/>
      <c r="I86" s="221"/>
      <c r="J86" s="221"/>
      <c r="K86" s="221"/>
      <c r="L86" s="221"/>
      <c r="M86" s="221"/>
      <c r="N86" s="221"/>
      <c r="O86" s="221"/>
      <c r="P86" s="221"/>
      <c r="Q86" s="221"/>
      <c r="R86" s="221"/>
      <c r="S86" s="222"/>
    </row>
    <row r="87" spans="1:22" s="3" customFormat="1" ht="21" customHeight="1">
      <c r="A87" s="237"/>
      <c r="B87" s="240"/>
      <c r="C87" s="240"/>
      <c r="D87" s="213"/>
      <c r="E87" s="213"/>
      <c r="F87" s="215"/>
      <c r="G87" s="223" t="s">
        <v>90</v>
      </c>
      <c r="H87" s="224"/>
      <c r="I87" s="224" t="s">
        <v>89</v>
      </c>
      <c r="J87" s="224"/>
      <c r="K87" s="17"/>
      <c r="L87" s="17"/>
      <c r="M87" s="17"/>
      <c r="N87" s="17"/>
      <c r="O87" s="17"/>
      <c r="P87" s="17"/>
      <c r="Q87" s="17"/>
      <c r="R87" s="17"/>
      <c r="S87" s="44">
        <f>120000*12</f>
        <v>1440000</v>
      </c>
    </row>
    <row r="88" spans="1:22" s="3" customFormat="1" ht="21" customHeight="1">
      <c r="A88" s="237"/>
      <c r="B88" s="240"/>
      <c r="C88" s="240"/>
      <c r="D88" s="213"/>
      <c r="E88" s="213"/>
      <c r="F88" s="215"/>
      <c r="G88" s="220" t="s">
        <v>81</v>
      </c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222"/>
    </row>
    <row r="89" spans="1:22" s="3" customFormat="1" ht="21" customHeight="1">
      <c r="A89" s="237"/>
      <c r="B89" s="240"/>
      <c r="C89" s="240"/>
      <c r="D89" s="213"/>
      <c r="E89" s="213"/>
      <c r="F89" s="215"/>
      <c r="G89" s="223" t="s">
        <v>91</v>
      </c>
      <c r="H89" s="224"/>
      <c r="I89" s="224" t="s">
        <v>92</v>
      </c>
      <c r="J89" s="224"/>
      <c r="K89" s="27"/>
      <c r="L89" s="27"/>
      <c r="M89" s="27"/>
      <c r="N89" s="27"/>
      <c r="O89" s="27"/>
      <c r="P89" s="27"/>
      <c r="Q89" s="27"/>
      <c r="R89" s="27"/>
      <c r="S89" s="44">
        <f>20*100000</f>
        <v>2000000</v>
      </c>
    </row>
    <row r="90" spans="1:22" s="3" customFormat="1" ht="21" customHeight="1">
      <c r="A90" s="238"/>
      <c r="B90" s="241"/>
      <c r="C90" s="241"/>
      <c r="D90" s="214"/>
      <c r="E90" s="214"/>
      <c r="F90" s="216"/>
      <c r="G90" s="29"/>
      <c r="H90" s="30"/>
      <c r="I90" s="30"/>
      <c r="J90" s="30"/>
      <c r="K90" s="30"/>
      <c r="L90" s="30"/>
      <c r="M90" s="30"/>
      <c r="N90" s="30"/>
      <c r="O90" s="30"/>
      <c r="P90" s="30"/>
      <c r="Q90" s="246"/>
      <c r="R90" s="246"/>
      <c r="S90" s="6">
        <f>S85+S87+S89</f>
        <v>13440000</v>
      </c>
    </row>
    <row r="91" spans="1:22" s="10" customFormat="1" ht="21.75" customHeight="1" thickBot="1">
      <c r="A91" s="207"/>
      <c r="B91" s="208"/>
      <c r="C91" s="12" t="s">
        <v>13</v>
      </c>
      <c r="D91" s="13">
        <f>SUM(D75:D90)</f>
        <v>5650000</v>
      </c>
      <c r="E91" s="13">
        <f t="shared" ref="E91:F91" si="6">SUM(E75:E90)</f>
        <v>40940000</v>
      </c>
      <c r="F91" s="13">
        <f t="shared" si="6"/>
        <v>35290000</v>
      </c>
      <c r="G91" s="209"/>
      <c r="H91" s="210"/>
      <c r="I91" s="210"/>
      <c r="J91" s="210"/>
      <c r="K91" s="210"/>
      <c r="L91" s="210"/>
      <c r="M91" s="210"/>
      <c r="N91" s="210"/>
      <c r="O91" s="210"/>
      <c r="P91" s="210"/>
      <c r="Q91" s="210"/>
      <c r="R91" s="210"/>
      <c r="S91" s="211"/>
    </row>
    <row r="92" spans="1:22">
      <c r="A92" s="14"/>
    </row>
    <row r="93" spans="1:22">
      <c r="A93" s="15"/>
    </row>
  </sheetData>
  <mergeCells count="222">
    <mergeCell ref="G71:R71"/>
    <mergeCell ref="A68:A73"/>
    <mergeCell ref="B68:B73"/>
    <mergeCell ref="C68:C70"/>
    <mergeCell ref="C71:C73"/>
    <mergeCell ref="D71:D73"/>
    <mergeCell ref="E71:E73"/>
    <mergeCell ref="F71:F73"/>
    <mergeCell ref="A75:A90"/>
    <mergeCell ref="B75:B90"/>
    <mergeCell ref="G75:R75"/>
    <mergeCell ref="G78:R78"/>
    <mergeCell ref="G81:Q81"/>
    <mergeCell ref="L76:R76"/>
    <mergeCell ref="L80:R80"/>
    <mergeCell ref="C75:C77"/>
    <mergeCell ref="C78:C80"/>
    <mergeCell ref="C81:C83"/>
    <mergeCell ref="Q90:R90"/>
    <mergeCell ref="C84:C90"/>
    <mergeCell ref="D81:D83"/>
    <mergeCell ref="E81:E83"/>
    <mergeCell ref="F81:F83"/>
    <mergeCell ref="D78:D80"/>
    <mergeCell ref="C40:C42"/>
    <mergeCell ref="L35:R35"/>
    <mergeCell ref="G34:I34"/>
    <mergeCell ref="G35:I35"/>
    <mergeCell ref="G36:I36"/>
    <mergeCell ref="D25:D31"/>
    <mergeCell ref="E25:E31"/>
    <mergeCell ref="F25:F31"/>
    <mergeCell ref="G25:S25"/>
    <mergeCell ref="G26:H26"/>
    <mergeCell ref="I26:J26"/>
    <mergeCell ref="E40:E42"/>
    <mergeCell ref="F40:F42"/>
    <mergeCell ref="A1:S1"/>
    <mergeCell ref="A3:S3"/>
    <mergeCell ref="A4:C4"/>
    <mergeCell ref="D4:F4"/>
    <mergeCell ref="G4:S5"/>
    <mergeCell ref="A6:C6"/>
    <mergeCell ref="G6:S6"/>
    <mergeCell ref="A7:A18"/>
    <mergeCell ref="B7:B18"/>
    <mergeCell ref="C7:C15"/>
    <mergeCell ref="C16:C18"/>
    <mergeCell ref="J10:K10"/>
    <mergeCell ref="L10:R10"/>
    <mergeCell ref="G11:K11"/>
    <mergeCell ref="L11:R11"/>
    <mergeCell ref="H12:I12"/>
    <mergeCell ref="J12:K12"/>
    <mergeCell ref="L12:R12"/>
    <mergeCell ref="D7:D15"/>
    <mergeCell ref="E7:E15"/>
    <mergeCell ref="F7:F15"/>
    <mergeCell ref="G7:S7"/>
    <mergeCell ref="H8:I8"/>
    <mergeCell ref="J8:K8"/>
    <mergeCell ref="L8:R8"/>
    <mergeCell ref="G9:K9"/>
    <mergeCell ref="L9:R9"/>
    <mergeCell ref="H10:I10"/>
    <mergeCell ref="H15:I15"/>
    <mergeCell ref="J15:K15"/>
    <mergeCell ref="L15:R15"/>
    <mergeCell ref="G13:K13"/>
    <mergeCell ref="L13:R13"/>
    <mergeCell ref="H14:I14"/>
    <mergeCell ref="J14:K14"/>
    <mergeCell ref="L14:R14"/>
    <mergeCell ref="D16:D18"/>
    <mergeCell ref="E16:E18"/>
    <mergeCell ref="F16:F18"/>
    <mergeCell ref="G16:R16"/>
    <mergeCell ref="H17:I17"/>
    <mergeCell ref="J17:K17"/>
    <mergeCell ref="L17:R17"/>
    <mergeCell ref="H18:I18"/>
    <mergeCell ref="J18:K18"/>
    <mergeCell ref="L18:R18"/>
    <mergeCell ref="A19:B19"/>
    <mergeCell ref="G19:S19"/>
    <mergeCell ref="D20:D24"/>
    <mergeCell ref="E20:E24"/>
    <mergeCell ref="F20:F24"/>
    <mergeCell ref="G20:S20"/>
    <mergeCell ref="H21:I21"/>
    <mergeCell ref="J21:R21"/>
    <mergeCell ref="G22:R22"/>
    <mergeCell ref="H23:I23"/>
    <mergeCell ref="J23:R23"/>
    <mergeCell ref="H24:I24"/>
    <mergeCell ref="J24:R24"/>
    <mergeCell ref="A20:A31"/>
    <mergeCell ref="B20:B31"/>
    <mergeCell ref="C20:C24"/>
    <mergeCell ref="C25:C31"/>
    <mergeCell ref="K26:R26"/>
    <mergeCell ref="G31:H31"/>
    <mergeCell ref="I31:J31"/>
    <mergeCell ref="K31:R31"/>
    <mergeCell ref="A32:B32"/>
    <mergeCell ref="G32:S32"/>
    <mergeCell ref="D33:D39"/>
    <mergeCell ref="E33:E39"/>
    <mergeCell ref="F33:F39"/>
    <mergeCell ref="G33:S33"/>
    <mergeCell ref="G37:S37"/>
    <mergeCell ref="G27:R27"/>
    <mergeCell ref="G28:H28"/>
    <mergeCell ref="I28:J28"/>
    <mergeCell ref="K28:R28"/>
    <mergeCell ref="G29:R29"/>
    <mergeCell ref="G30:H30"/>
    <mergeCell ref="I30:J30"/>
    <mergeCell ref="K30:R30"/>
    <mergeCell ref="B33:B42"/>
    <mergeCell ref="A33:A42"/>
    <mergeCell ref="L34:R34"/>
    <mergeCell ref="L38:R38"/>
    <mergeCell ref="L39:R39"/>
    <mergeCell ref="G40:R40"/>
    <mergeCell ref="L41:R41"/>
    <mergeCell ref="C33:C39"/>
    <mergeCell ref="D40:D42"/>
    <mergeCell ref="L46:R46"/>
    <mergeCell ref="H47:I47"/>
    <mergeCell ref="J47:K47"/>
    <mergeCell ref="L47:R47"/>
    <mergeCell ref="G48:K48"/>
    <mergeCell ref="L48:R48"/>
    <mergeCell ref="A43:B43"/>
    <mergeCell ref="G43:S43"/>
    <mergeCell ref="D44:D62"/>
    <mergeCell ref="E44:E62"/>
    <mergeCell ref="F44:F62"/>
    <mergeCell ref="G44:S44"/>
    <mergeCell ref="H45:I45"/>
    <mergeCell ref="J45:K45"/>
    <mergeCell ref="L45:R45"/>
    <mergeCell ref="G46:K46"/>
    <mergeCell ref="A44:A62"/>
    <mergeCell ref="B44:B62"/>
    <mergeCell ref="C44:C62"/>
    <mergeCell ref="G52:R52"/>
    <mergeCell ref="H49:I49"/>
    <mergeCell ref="J49:K49"/>
    <mergeCell ref="L49:R49"/>
    <mergeCell ref="G50:K50"/>
    <mergeCell ref="L50:R50"/>
    <mergeCell ref="H51:I51"/>
    <mergeCell ref="J51:K51"/>
    <mergeCell ref="L51:R51"/>
    <mergeCell ref="G56:K56"/>
    <mergeCell ref="L56:R56"/>
    <mergeCell ref="H57:I57"/>
    <mergeCell ref="J57:K57"/>
    <mergeCell ref="L57:R57"/>
    <mergeCell ref="G58:K58"/>
    <mergeCell ref="L58:R58"/>
    <mergeCell ref="H53:I53"/>
    <mergeCell ref="J53:K53"/>
    <mergeCell ref="L53:R53"/>
    <mergeCell ref="G54:K54"/>
    <mergeCell ref="L54:R54"/>
    <mergeCell ref="H55:I55"/>
    <mergeCell ref="J55:K55"/>
    <mergeCell ref="L55:R55"/>
    <mergeCell ref="F64:F66"/>
    <mergeCell ref="H61:I61"/>
    <mergeCell ref="J61:K61"/>
    <mergeCell ref="L61:R61"/>
    <mergeCell ref="H62:I62"/>
    <mergeCell ref="J62:K62"/>
    <mergeCell ref="L62:R62"/>
    <mergeCell ref="H59:I59"/>
    <mergeCell ref="J59:K59"/>
    <mergeCell ref="L59:R59"/>
    <mergeCell ref="G60:I60"/>
    <mergeCell ref="J60:K60"/>
    <mergeCell ref="L60:R60"/>
    <mergeCell ref="E78:E80"/>
    <mergeCell ref="F78:F80"/>
    <mergeCell ref="A74:B74"/>
    <mergeCell ref="G74:S74"/>
    <mergeCell ref="D75:D77"/>
    <mergeCell ref="E75:E77"/>
    <mergeCell ref="F75:F77"/>
    <mergeCell ref="G77:R77"/>
    <mergeCell ref="A63:B63"/>
    <mergeCell ref="G63:S63"/>
    <mergeCell ref="G64:R64"/>
    <mergeCell ref="L65:R65"/>
    <mergeCell ref="A64:A66"/>
    <mergeCell ref="B64:B66"/>
    <mergeCell ref="C64:C66"/>
    <mergeCell ref="G68:R68"/>
    <mergeCell ref="L69:R69"/>
    <mergeCell ref="A67:B67"/>
    <mergeCell ref="G67:S67"/>
    <mergeCell ref="D68:D70"/>
    <mergeCell ref="E68:E70"/>
    <mergeCell ref="F68:F70"/>
    <mergeCell ref="D64:D66"/>
    <mergeCell ref="E64:E66"/>
    <mergeCell ref="A91:B91"/>
    <mergeCell ref="G91:S91"/>
    <mergeCell ref="D84:D90"/>
    <mergeCell ref="E84:E90"/>
    <mergeCell ref="F84:F90"/>
    <mergeCell ref="G84:S84"/>
    <mergeCell ref="G86:S86"/>
    <mergeCell ref="G88:S88"/>
    <mergeCell ref="G82:H82"/>
    <mergeCell ref="I82:J82"/>
    <mergeCell ref="G87:H87"/>
    <mergeCell ref="I87:J87"/>
    <mergeCell ref="G89:H89"/>
    <mergeCell ref="I89:J89"/>
  </mergeCells>
  <phoneticPr fontId="2" type="noConversion"/>
  <printOptions horizontalCentered="1"/>
  <pageMargins left="0.11811023622047245" right="0.11811023622047245" top="0.51181102362204722" bottom="0.19685039370078741" header="0.31496062992125984" footer="0.11811023622047245"/>
  <pageSetup paperSize="9" scale="7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3"/>
  <sheetViews>
    <sheetView workbookViewId="0">
      <selection activeCell="A4" sqref="A4:F221"/>
    </sheetView>
  </sheetViews>
  <sheetFormatPr defaultRowHeight="12"/>
  <cols>
    <col min="1" max="3" width="10.625" style="54" customWidth="1"/>
    <col min="4" max="6" width="13.625" style="95" customWidth="1"/>
    <col min="7" max="8" width="5.25" style="54" customWidth="1"/>
    <col min="9" max="13" width="3.625" style="54" customWidth="1"/>
    <col min="14" max="14" width="5.875" style="54" customWidth="1"/>
    <col min="15" max="15" width="15.625" style="54" customWidth="1"/>
    <col min="16" max="16" width="9" style="54"/>
    <col min="17" max="17" width="14.875" style="54" customWidth="1"/>
    <col min="18" max="16384" width="9" style="54"/>
  </cols>
  <sheetData>
    <row r="1" spans="1:17" ht="35.1" customHeight="1">
      <c r="A1" s="343" t="s">
        <v>172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</row>
    <row r="2" spans="1:17" ht="15.95" customHeight="1">
      <c r="A2" s="55"/>
    </row>
    <row r="3" spans="1:17" ht="35.1" customHeight="1" thickBot="1">
      <c r="A3" s="344" t="s">
        <v>173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</row>
    <row r="4" spans="1:17" ht="30" customHeight="1">
      <c r="A4" s="345" t="s">
        <v>0</v>
      </c>
      <c r="B4" s="346"/>
      <c r="C4" s="347"/>
      <c r="D4" s="348" t="s">
        <v>174</v>
      </c>
      <c r="E4" s="349"/>
      <c r="F4" s="350"/>
      <c r="G4" s="348" t="s">
        <v>1</v>
      </c>
      <c r="H4" s="349"/>
      <c r="I4" s="349"/>
      <c r="J4" s="349"/>
      <c r="K4" s="349"/>
      <c r="L4" s="349"/>
      <c r="M4" s="349"/>
      <c r="N4" s="349"/>
      <c r="O4" s="351"/>
      <c r="Q4" s="94">
        <f>수입!E6-지출!E6</f>
        <v>0.46000003814697266</v>
      </c>
    </row>
    <row r="5" spans="1:17" ht="30" customHeight="1" thickBot="1">
      <c r="A5" s="56" t="s">
        <v>2</v>
      </c>
      <c r="B5" s="57" t="s">
        <v>3</v>
      </c>
      <c r="C5" s="57" t="s">
        <v>4</v>
      </c>
      <c r="D5" s="58" t="s">
        <v>33</v>
      </c>
      <c r="E5" s="57" t="s">
        <v>34</v>
      </c>
      <c r="F5" s="59" t="s">
        <v>93</v>
      </c>
      <c r="G5" s="352"/>
      <c r="H5" s="353"/>
      <c r="I5" s="353"/>
      <c r="J5" s="353"/>
      <c r="K5" s="353"/>
      <c r="L5" s="353"/>
      <c r="M5" s="353"/>
      <c r="N5" s="353"/>
      <c r="O5" s="354"/>
    </row>
    <row r="6" spans="1:17" ht="30" customHeight="1" thickBot="1">
      <c r="A6" s="355" t="s">
        <v>6</v>
      </c>
      <c r="B6" s="356"/>
      <c r="C6" s="357"/>
      <c r="D6" s="60">
        <f>D158+D168+D206+D213+D221</f>
        <v>1671011130</v>
      </c>
      <c r="E6" s="60">
        <f t="shared" ref="E6:F6" si="0">E158+E168+E206+E213+E221</f>
        <v>1988871999.54</v>
      </c>
      <c r="F6" s="60">
        <f t="shared" si="0"/>
        <v>317860869.53999996</v>
      </c>
      <c r="G6" s="358"/>
      <c r="H6" s="359"/>
      <c r="I6" s="359"/>
      <c r="J6" s="359"/>
      <c r="K6" s="359"/>
      <c r="L6" s="359"/>
      <c r="M6" s="359"/>
      <c r="N6" s="359"/>
      <c r="O6" s="360"/>
    </row>
    <row r="7" spans="1:17" ht="22.5" customHeight="1">
      <c r="A7" s="385" t="s">
        <v>176</v>
      </c>
      <c r="B7" s="308" t="s">
        <v>177</v>
      </c>
      <c r="C7" s="308" t="s">
        <v>178</v>
      </c>
      <c r="D7" s="310">
        <v>827976000</v>
      </c>
      <c r="E7" s="310">
        <f>O43</f>
        <v>1035747960</v>
      </c>
      <c r="F7" s="310">
        <f>E7-D7</f>
        <v>207771960</v>
      </c>
      <c r="G7" s="323" t="s">
        <v>94</v>
      </c>
      <c r="H7" s="324"/>
      <c r="I7" s="324"/>
      <c r="J7" s="324"/>
      <c r="K7" s="324"/>
      <c r="L7" s="324"/>
      <c r="M7" s="324"/>
      <c r="N7" s="324"/>
      <c r="O7" s="366"/>
    </row>
    <row r="8" spans="1:17" ht="22.5" customHeight="1">
      <c r="A8" s="326"/>
      <c r="B8" s="306"/>
      <c r="C8" s="306"/>
      <c r="D8" s="310"/>
      <c r="E8" s="310"/>
      <c r="F8" s="310"/>
      <c r="G8" s="361" t="s">
        <v>95</v>
      </c>
      <c r="H8" s="316"/>
      <c r="I8" s="316"/>
      <c r="J8" s="315">
        <v>5000000</v>
      </c>
      <c r="K8" s="315"/>
      <c r="L8" s="315"/>
      <c r="M8" s="315"/>
      <c r="N8" s="62" t="s">
        <v>17</v>
      </c>
      <c r="O8" s="63">
        <f>1*5000000*12</f>
        <v>60000000</v>
      </c>
    </row>
    <row r="9" spans="1:17" ht="22.5" customHeight="1">
      <c r="A9" s="326"/>
      <c r="B9" s="306"/>
      <c r="C9" s="306"/>
      <c r="D9" s="310"/>
      <c r="E9" s="310"/>
      <c r="F9" s="310"/>
      <c r="G9" s="323" t="s">
        <v>96</v>
      </c>
      <c r="H9" s="324"/>
      <c r="I9" s="324"/>
      <c r="J9" s="324"/>
      <c r="K9" s="324"/>
      <c r="L9" s="324"/>
      <c r="M9" s="324"/>
      <c r="N9" s="324"/>
      <c r="O9" s="64"/>
    </row>
    <row r="10" spans="1:17" ht="22.5" customHeight="1">
      <c r="A10" s="326"/>
      <c r="B10" s="306"/>
      <c r="C10" s="306"/>
      <c r="D10" s="310"/>
      <c r="E10" s="310"/>
      <c r="F10" s="310"/>
      <c r="G10" s="361" t="s">
        <v>95</v>
      </c>
      <c r="H10" s="316"/>
      <c r="I10" s="316"/>
      <c r="J10" s="315">
        <v>3100000</v>
      </c>
      <c r="K10" s="315"/>
      <c r="L10" s="315"/>
      <c r="M10" s="315"/>
      <c r="N10" s="62" t="s">
        <v>17</v>
      </c>
      <c r="O10" s="63">
        <f>1*3100000*12</f>
        <v>37200000</v>
      </c>
    </row>
    <row r="11" spans="1:17" ht="22.5" customHeight="1">
      <c r="A11" s="326"/>
      <c r="B11" s="306"/>
      <c r="C11" s="306"/>
      <c r="D11" s="310"/>
      <c r="E11" s="310"/>
      <c r="F11" s="310"/>
      <c r="G11" s="323" t="s">
        <v>97</v>
      </c>
      <c r="H11" s="324"/>
      <c r="I11" s="324"/>
      <c r="J11" s="324"/>
      <c r="K11" s="324"/>
      <c r="L11" s="324"/>
      <c r="M11" s="324"/>
      <c r="N11" s="324"/>
      <c r="O11" s="64"/>
    </row>
    <row r="12" spans="1:17" ht="22.5" customHeight="1">
      <c r="A12" s="326"/>
      <c r="B12" s="306"/>
      <c r="C12" s="306"/>
      <c r="D12" s="310"/>
      <c r="E12" s="310"/>
      <c r="F12" s="310"/>
      <c r="G12" s="361" t="s">
        <v>95</v>
      </c>
      <c r="H12" s="316"/>
      <c r="I12" s="316"/>
      <c r="J12" s="315">
        <v>2160000</v>
      </c>
      <c r="K12" s="315"/>
      <c r="L12" s="315"/>
      <c r="M12" s="315"/>
      <c r="N12" s="62" t="s">
        <v>17</v>
      </c>
      <c r="O12" s="63">
        <f>1*2160000*12</f>
        <v>25920000</v>
      </c>
    </row>
    <row r="13" spans="1:17" ht="22.5" customHeight="1">
      <c r="A13" s="326"/>
      <c r="B13" s="306"/>
      <c r="C13" s="306"/>
      <c r="D13" s="310"/>
      <c r="E13" s="310"/>
      <c r="F13" s="310"/>
      <c r="G13" s="323" t="s">
        <v>98</v>
      </c>
      <c r="H13" s="324"/>
      <c r="I13" s="324"/>
      <c r="J13" s="324"/>
      <c r="K13" s="324"/>
      <c r="L13" s="324"/>
      <c r="M13" s="324"/>
      <c r="N13" s="324"/>
      <c r="O13" s="64"/>
    </row>
    <row r="14" spans="1:17" ht="22.5" customHeight="1">
      <c r="A14" s="326"/>
      <c r="B14" s="306"/>
      <c r="C14" s="306"/>
      <c r="D14" s="310"/>
      <c r="E14" s="310"/>
      <c r="F14" s="310"/>
      <c r="G14" s="361" t="s">
        <v>95</v>
      </c>
      <c r="H14" s="316"/>
      <c r="I14" s="316"/>
      <c r="J14" s="315">
        <v>1970000</v>
      </c>
      <c r="K14" s="315"/>
      <c r="L14" s="315"/>
      <c r="M14" s="315"/>
      <c r="N14" s="62" t="s">
        <v>17</v>
      </c>
      <c r="O14" s="63">
        <f>1*1970000*12</f>
        <v>23640000</v>
      </c>
    </row>
    <row r="15" spans="1:17" ht="22.5" customHeight="1">
      <c r="A15" s="326"/>
      <c r="B15" s="306"/>
      <c r="C15" s="306"/>
      <c r="D15" s="310"/>
      <c r="E15" s="310"/>
      <c r="F15" s="310"/>
      <c r="G15" s="323" t="s">
        <v>99</v>
      </c>
      <c r="H15" s="324"/>
      <c r="I15" s="324"/>
      <c r="J15" s="324"/>
      <c r="K15" s="324"/>
      <c r="L15" s="324"/>
      <c r="M15" s="324"/>
      <c r="N15" s="324"/>
      <c r="O15" s="64"/>
    </row>
    <row r="16" spans="1:17" ht="22.5" customHeight="1">
      <c r="A16" s="326"/>
      <c r="B16" s="306"/>
      <c r="C16" s="306"/>
      <c r="D16" s="310"/>
      <c r="E16" s="310"/>
      <c r="F16" s="310"/>
      <c r="G16" s="361" t="s">
        <v>100</v>
      </c>
      <c r="H16" s="316"/>
      <c r="I16" s="316"/>
      <c r="J16" s="315">
        <v>1568800</v>
      </c>
      <c r="K16" s="315"/>
      <c r="L16" s="315"/>
      <c r="M16" s="315"/>
      <c r="N16" s="62" t="s">
        <v>17</v>
      </c>
      <c r="O16" s="63">
        <f>2*1568800*12</f>
        <v>37651200</v>
      </c>
    </row>
    <row r="17" spans="1:15" ht="22.5" customHeight="1">
      <c r="A17" s="326"/>
      <c r="B17" s="306"/>
      <c r="C17" s="306"/>
      <c r="D17" s="310"/>
      <c r="E17" s="310"/>
      <c r="F17" s="310"/>
      <c r="G17" s="323" t="s">
        <v>101</v>
      </c>
      <c r="H17" s="324"/>
      <c r="I17" s="324"/>
      <c r="J17" s="324"/>
      <c r="K17" s="324"/>
      <c r="L17" s="324"/>
      <c r="M17" s="324"/>
      <c r="N17" s="324"/>
      <c r="O17" s="64"/>
    </row>
    <row r="18" spans="1:15" ht="22.5" customHeight="1">
      <c r="A18" s="326"/>
      <c r="B18" s="306"/>
      <c r="C18" s="306"/>
      <c r="D18" s="310"/>
      <c r="E18" s="310"/>
      <c r="F18" s="310"/>
      <c r="G18" s="361" t="s">
        <v>102</v>
      </c>
      <c r="H18" s="316"/>
      <c r="I18" s="316"/>
      <c r="J18" s="315">
        <v>2023330</v>
      </c>
      <c r="K18" s="315"/>
      <c r="L18" s="315"/>
      <c r="M18" s="315"/>
      <c r="N18" s="62" t="s">
        <v>17</v>
      </c>
      <c r="O18" s="63">
        <f>3*2023330*12</f>
        <v>72839880</v>
      </c>
    </row>
    <row r="19" spans="1:15" ht="22.5" customHeight="1">
      <c r="A19" s="326"/>
      <c r="B19" s="306"/>
      <c r="C19" s="306"/>
      <c r="D19" s="310"/>
      <c r="E19" s="310"/>
      <c r="F19" s="310"/>
      <c r="G19" s="323" t="s">
        <v>103</v>
      </c>
      <c r="H19" s="324"/>
      <c r="I19" s="324"/>
      <c r="J19" s="324"/>
      <c r="K19" s="324"/>
      <c r="L19" s="324"/>
      <c r="M19" s="324"/>
      <c r="N19" s="324"/>
      <c r="O19" s="64"/>
    </row>
    <row r="20" spans="1:15" ht="22.5" customHeight="1">
      <c r="A20" s="326"/>
      <c r="B20" s="306"/>
      <c r="C20" s="306"/>
      <c r="D20" s="310"/>
      <c r="E20" s="310"/>
      <c r="F20" s="310"/>
      <c r="G20" s="361" t="s">
        <v>179</v>
      </c>
      <c r="H20" s="316"/>
      <c r="I20" s="316"/>
      <c r="J20" s="315">
        <v>1113750</v>
      </c>
      <c r="K20" s="315"/>
      <c r="L20" s="315"/>
      <c r="M20" s="315"/>
      <c r="N20" s="62" t="s">
        <v>17</v>
      </c>
      <c r="O20" s="63">
        <f>2*1113750*12</f>
        <v>26730000</v>
      </c>
    </row>
    <row r="21" spans="1:15" ht="22.5" customHeight="1">
      <c r="A21" s="326"/>
      <c r="B21" s="306"/>
      <c r="C21" s="306"/>
      <c r="D21" s="310"/>
      <c r="E21" s="310"/>
      <c r="F21" s="310"/>
      <c r="G21" s="323" t="s">
        <v>104</v>
      </c>
      <c r="H21" s="324"/>
      <c r="I21" s="324"/>
      <c r="J21" s="324"/>
      <c r="K21" s="324"/>
      <c r="L21" s="324"/>
      <c r="M21" s="324"/>
      <c r="N21" s="324"/>
      <c r="O21" s="64"/>
    </row>
    <row r="22" spans="1:15" ht="22.5" customHeight="1">
      <c r="A22" s="326"/>
      <c r="B22" s="306"/>
      <c r="C22" s="306"/>
      <c r="D22" s="310"/>
      <c r="E22" s="310"/>
      <c r="F22" s="310"/>
      <c r="G22" s="361" t="s">
        <v>95</v>
      </c>
      <c r="H22" s="316"/>
      <c r="I22" s="316"/>
      <c r="J22" s="315">
        <v>2130000</v>
      </c>
      <c r="K22" s="315"/>
      <c r="L22" s="315"/>
      <c r="M22" s="315"/>
      <c r="N22" s="62" t="s">
        <v>17</v>
      </c>
      <c r="O22" s="63">
        <f>1*2130000*12</f>
        <v>25560000</v>
      </c>
    </row>
    <row r="23" spans="1:15" ht="22.5" customHeight="1">
      <c r="A23" s="326"/>
      <c r="B23" s="306"/>
      <c r="C23" s="306"/>
      <c r="D23" s="310"/>
      <c r="E23" s="310"/>
      <c r="F23" s="310"/>
      <c r="G23" s="323" t="s">
        <v>180</v>
      </c>
      <c r="H23" s="324"/>
      <c r="I23" s="324"/>
      <c r="J23" s="324"/>
      <c r="K23" s="324"/>
      <c r="L23" s="324"/>
      <c r="M23" s="324"/>
      <c r="N23" s="324"/>
      <c r="O23" s="64"/>
    </row>
    <row r="24" spans="1:15" ht="22.5" customHeight="1">
      <c r="A24" s="326"/>
      <c r="B24" s="306"/>
      <c r="C24" s="306"/>
      <c r="D24" s="310"/>
      <c r="E24" s="310"/>
      <c r="F24" s="310"/>
      <c r="G24" s="361" t="s">
        <v>181</v>
      </c>
      <c r="H24" s="316"/>
      <c r="I24" s="316"/>
      <c r="J24" s="315">
        <v>1783380</v>
      </c>
      <c r="K24" s="315"/>
      <c r="L24" s="315"/>
      <c r="M24" s="315"/>
      <c r="N24" s="62" t="s">
        <v>17</v>
      </c>
      <c r="O24" s="63">
        <f>3*1783380*12</f>
        <v>64201680</v>
      </c>
    </row>
    <row r="25" spans="1:15" ht="22.5" customHeight="1">
      <c r="A25" s="326"/>
      <c r="B25" s="306"/>
      <c r="C25" s="306"/>
      <c r="D25" s="310"/>
      <c r="E25" s="310"/>
      <c r="F25" s="310"/>
      <c r="G25" s="323" t="s">
        <v>182</v>
      </c>
      <c r="H25" s="324"/>
      <c r="I25" s="324"/>
      <c r="J25" s="324"/>
      <c r="K25" s="324"/>
      <c r="L25" s="324"/>
      <c r="M25" s="324"/>
      <c r="N25" s="324"/>
      <c r="O25" s="64"/>
    </row>
    <row r="26" spans="1:15" ht="22.5" customHeight="1">
      <c r="A26" s="326"/>
      <c r="B26" s="306"/>
      <c r="C26" s="306"/>
      <c r="D26" s="310"/>
      <c r="E26" s="310"/>
      <c r="F26" s="310"/>
      <c r="G26" s="361" t="s">
        <v>95</v>
      </c>
      <c r="H26" s="316"/>
      <c r="I26" s="316"/>
      <c r="J26" s="315">
        <v>1745150</v>
      </c>
      <c r="K26" s="315"/>
      <c r="L26" s="315"/>
      <c r="M26" s="315"/>
      <c r="N26" s="62" t="s">
        <v>17</v>
      </c>
      <c r="O26" s="63">
        <f>1*1745150*12</f>
        <v>20941800</v>
      </c>
    </row>
    <row r="27" spans="1:15" ht="22.5" customHeight="1">
      <c r="A27" s="326"/>
      <c r="B27" s="306"/>
      <c r="C27" s="306"/>
      <c r="D27" s="310"/>
      <c r="E27" s="310"/>
      <c r="F27" s="310"/>
      <c r="G27" s="323" t="s">
        <v>183</v>
      </c>
      <c r="H27" s="324"/>
      <c r="I27" s="324"/>
      <c r="J27" s="324"/>
      <c r="K27" s="324"/>
      <c r="L27" s="324"/>
      <c r="M27" s="324"/>
      <c r="N27" s="324"/>
      <c r="O27" s="64"/>
    </row>
    <row r="28" spans="1:15" ht="22.5" customHeight="1">
      <c r="A28" s="326"/>
      <c r="B28" s="306"/>
      <c r="C28" s="306"/>
      <c r="D28" s="310"/>
      <c r="E28" s="310"/>
      <c r="F28" s="310"/>
      <c r="G28" s="361" t="s">
        <v>193</v>
      </c>
      <c r="H28" s="316"/>
      <c r="I28" s="316"/>
      <c r="J28" s="315">
        <v>1745150</v>
      </c>
      <c r="K28" s="315"/>
      <c r="L28" s="315"/>
      <c r="M28" s="315"/>
      <c r="N28" s="62" t="s">
        <v>17</v>
      </c>
      <c r="O28" s="63">
        <f>7*1745150*12</f>
        <v>146592600</v>
      </c>
    </row>
    <row r="29" spans="1:15" ht="22.5" customHeight="1">
      <c r="A29" s="326"/>
      <c r="B29" s="306"/>
      <c r="C29" s="306"/>
      <c r="D29" s="310"/>
      <c r="E29" s="310"/>
      <c r="F29" s="310"/>
      <c r="G29" s="323" t="s">
        <v>184</v>
      </c>
      <c r="H29" s="324"/>
      <c r="I29" s="324"/>
      <c r="J29" s="324"/>
      <c r="K29" s="324"/>
      <c r="L29" s="324"/>
      <c r="M29" s="324"/>
      <c r="N29" s="324"/>
      <c r="O29" s="64"/>
    </row>
    <row r="30" spans="1:15" ht="22.5" customHeight="1">
      <c r="A30" s="326"/>
      <c r="B30" s="306"/>
      <c r="C30" s="306"/>
      <c r="D30" s="310"/>
      <c r="E30" s="310"/>
      <c r="F30" s="310"/>
      <c r="G30" s="361" t="s">
        <v>185</v>
      </c>
      <c r="H30" s="316"/>
      <c r="I30" s="316"/>
      <c r="J30" s="315">
        <v>1750000</v>
      </c>
      <c r="K30" s="315"/>
      <c r="L30" s="315"/>
      <c r="M30" s="315"/>
      <c r="N30" s="62" t="s">
        <v>17</v>
      </c>
      <c r="O30" s="63">
        <f>7*1750000*12</f>
        <v>147000000</v>
      </c>
    </row>
    <row r="31" spans="1:15" ht="22.5" customHeight="1">
      <c r="A31" s="326"/>
      <c r="B31" s="306"/>
      <c r="C31" s="306"/>
      <c r="D31" s="310"/>
      <c r="E31" s="310"/>
      <c r="F31" s="310"/>
      <c r="G31" s="323" t="s">
        <v>186</v>
      </c>
      <c r="H31" s="324"/>
      <c r="I31" s="324"/>
      <c r="J31" s="324"/>
      <c r="K31" s="324"/>
      <c r="L31" s="324"/>
      <c r="M31" s="324"/>
      <c r="N31" s="324"/>
      <c r="O31" s="64"/>
    </row>
    <row r="32" spans="1:15" ht="22.5" customHeight="1">
      <c r="A32" s="326"/>
      <c r="B32" s="306"/>
      <c r="C32" s="306"/>
      <c r="D32" s="310"/>
      <c r="E32" s="310"/>
      <c r="F32" s="310"/>
      <c r="G32" s="361" t="s">
        <v>187</v>
      </c>
      <c r="H32" s="316"/>
      <c r="I32" s="316"/>
      <c r="J32" s="315">
        <v>1860000</v>
      </c>
      <c r="K32" s="315"/>
      <c r="L32" s="315"/>
      <c r="M32" s="315"/>
      <c r="N32" s="62" t="s">
        <v>17</v>
      </c>
      <c r="O32" s="63">
        <f>1*1860000*12</f>
        <v>22320000</v>
      </c>
    </row>
    <row r="33" spans="1:15" ht="22.5" customHeight="1">
      <c r="A33" s="326"/>
      <c r="B33" s="306"/>
      <c r="C33" s="306"/>
      <c r="D33" s="310"/>
      <c r="E33" s="310"/>
      <c r="F33" s="310"/>
      <c r="G33" s="323" t="s">
        <v>188</v>
      </c>
      <c r="H33" s="324"/>
      <c r="I33" s="324"/>
      <c r="J33" s="324"/>
      <c r="K33" s="324"/>
      <c r="L33" s="324"/>
      <c r="M33" s="324"/>
      <c r="N33" s="324"/>
      <c r="O33" s="64"/>
    </row>
    <row r="34" spans="1:15" ht="22.5" customHeight="1">
      <c r="A34" s="326"/>
      <c r="B34" s="306"/>
      <c r="C34" s="306"/>
      <c r="D34" s="310"/>
      <c r="E34" s="310"/>
      <c r="F34" s="310"/>
      <c r="G34" s="361" t="s">
        <v>187</v>
      </c>
      <c r="H34" s="316"/>
      <c r="I34" s="316"/>
      <c r="J34" s="315">
        <v>1765000</v>
      </c>
      <c r="K34" s="315"/>
      <c r="L34" s="315"/>
      <c r="M34" s="315"/>
      <c r="N34" s="62" t="s">
        <v>17</v>
      </c>
      <c r="O34" s="63">
        <f>1*1765000*12</f>
        <v>21180000</v>
      </c>
    </row>
    <row r="35" spans="1:15" ht="22.5" customHeight="1">
      <c r="A35" s="326"/>
      <c r="B35" s="306"/>
      <c r="C35" s="306"/>
      <c r="D35" s="310"/>
      <c r="E35" s="310"/>
      <c r="F35" s="310"/>
      <c r="G35" s="323" t="s">
        <v>189</v>
      </c>
      <c r="H35" s="324"/>
      <c r="I35" s="324"/>
      <c r="J35" s="324"/>
      <c r="K35" s="324"/>
      <c r="L35" s="324"/>
      <c r="M35" s="324"/>
      <c r="N35" s="324"/>
      <c r="O35" s="64"/>
    </row>
    <row r="36" spans="1:15" ht="22.5" customHeight="1">
      <c r="A36" s="326"/>
      <c r="B36" s="306"/>
      <c r="C36" s="306"/>
      <c r="D36" s="310"/>
      <c r="E36" s="310"/>
      <c r="F36" s="310"/>
      <c r="G36" s="361" t="s">
        <v>105</v>
      </c>
      <c r="H36" s="316"/>
      <c r="I36" s="316"/>
      <c r="J36" s="315">
        <v>1770000</v>
      </c>
      <c r="K36" s="315"/>
      <c r="L36" s="315"/>
      <c r="M36" s="315"/>
      <c r="N36" s="62" t="s">
        <v>17</v>
      </c>
      <c r="O36" s="63">
        <f>2*1770000*12</f>
        <v>42480000</v>
      </c>
    </row>
    <row r="37" spans="1:15" ht="22.5" customHeight="1">
      <c r="A37" s="326"/>
      <c r="B37" s="306"/>
      <c r="C37" s="306"/>
      <c r="D37" s="310"/>
      <c r="E37" s="310"/>
      <c r="F37" s="310"/>
      <c r="G37" s="323" t="s">
        <v>190</v>
      </c>
      <c r="H37" s="324"/>
      <c r="I37" s="324"/>
      <c r="J37" s="324"/>
      <c r="K37" s="324"/>
      <c r="L37" s="324"/>
      <c r="M37" s="324"/>
      <c r="N37" s="324"/>
      <c r="O37" s="64"/>
    </row>
    <row r="38" spans="1:15" ht="22.5" customHeight="1">
      <c r="A38" s="326"/>
      <c r="B38" s="306"/>
      <c r="C38" s="306"/>
      <c r="D38" s="310"/>
      <c r="E38" s="310"/>
      <c r="F38" s="310"/>
      <c r="G38" s="361" t="s">
        <v>191</v>
      </c>
      <c r="H38" s="316"/>
      <c r="I38" s="316"/>
      <c r="J38" s="315">
        <v>1775000</v>
      </c>
      <c r="K38" s="315"/>
      <c r="L38" s="315"/>
      <c r="M38" s="315"/>
      <c r="N38" s="62" t="s">
        <v>17</v>
      </c>
      <c r="O38" s="63">
        <f>4*1775000*12</f>
        <v>85200000</v>
      </c>
    </row>
    <row r="39" spans="1:15" ht="22.5" customHeight="1">
      <c r="A39" s="326"/>
      <c r="B39" s="306"/>
      <c r="C39" s="306"/>
      <c r="D39" s="310"/>
      <c r="E39" s="310"/>
      <c r="F39" s="310"/>
      <c r="G39" s="323" t="s">
        <v>192</v>
      </c>
      <c r="H39" s="324"/>
      <c r="I39" s="324"/>
      <c r="J39" s="324"/>
      <c r="K39" s="324"/>
      <c r="L39" s="324"/>
      <c r="M39" s="324"/>
      <c r="N39" s="324"/>
      <c r="O39" s="64"/>
    </row>
    <row r="40" spans="1:15" ht="22.5" customHeight="1">
      <c r="A40" s="326"/>
      <c r="B40" s="306"/>
      <c r="C40" s="306"/>
      <c r="D40" s="310"/>
      <c r="E40" s="310"/>
      <c r="F40" s="310"/>
      <c r="G40" s="361" t="s">
        <v>105</v>
      </c>
      <c r="H40" s="316"/>
      <c r="I40" s="316"/>
      <c r="J40" s="315">
        <v>2110000</v>
      </c>
      <c r="K40" s="315"/>
      <c r="L40" s="315"/>
      <c r="M40" s="315"/>
      <c r="N40" s="62" t="s">
        <v>17</v>
      </c>
      <c r="O40" s="63">
        <f>2*2110000*12</f>
        <v>50640000</v>
      </c>
    </row>
    <row r="41" spans="1:15" ht="22.5" customHeight="1">
      <c r="A41" s="326"/>
      <c r="B41" s="306"/>
      <c r="C41" s="306"/>
      <c r="D41" s="310"/>
      <c r="E41" s="310"/>
      <c r="F41" s="310"/>
      <c r="G41" s="323" t="s">
        <v>194</v>
      </c>
      <c r="H41" s="324"/>
      <c r="I41" s="324"/>
      <c r="J41" s="324"/>
      <c r="K41" s="324"/>
      <c r="L41" s="324"/>
      <c r="M41" s="324"/>
      <c r="N41" s="324"/>
      <c r="O41" s="64"/>
    </row>
    <row r="42" spans="1:15" ht="22.5" customHeight="1">
      <c r="A42" s="326"/>
      <c r="B42" s="306"/>
      <c r="C42" s="306"/>
      <c r="D42" s="310"/>
      <c r="E42" s="310"/>
      <c r="F42" s="310"/>
      <c r="G42" s="361" t="s">
        <v>195</v>
      </c>
      <c r="H42" s="316"/>
      <c r="I42" s="316"/>
      <c r="J42" s="315">
        <v>1745150</v>
      </c>
      <c r="K42" s="315"/>
      <c r="L42" s="315"/>
      <c r="M42" s="315"/>
      <c r="N42" s="62" t="s">
        <v>17</v>
      </c>
      <c r="O42" s="63">
        <f>6*1745150*12</f>
        <v>125650800</v>
      </c>
    </row>
    <row r="43" spans="1:15" ht="22.5" customHeight="1">
      <c r="A43" s="326"/>
      <c r="B43" s="306"/>
      <c r="C43" s="307"/>
      <c r="D43" s="311"/>
      <c r="E43" s="311"/>
      <c r="F43" s="311"/>
      <c r="G43" s="362"/>
      <c r="H43" s="363"/>
      <c r="I43" s="363"/>
      <c r="J43" s="363"/>
      <c r="K43" s="363"/>
      <c r="L43" s="363"/>
      <c r="M43" s="363"/>
      <c r="N43" s="363"/>
      <c r="O43" s="65">
        <f>O8+O10+O12+O14+O16+O18+O20+O22+O24+O26+O28+O30+O32+O34+O36+O38+O40+O42</f>
        <v>1035747960</v>
      </c>
    </row>
    <row r="44" spans="1:15" ht="24" customHeight="1">
      <c r="A44" s="326"/>
      <c r="B44" s="306"/>
      <c r="C44" s="305" t="s">
        <v>197</v>
      </c>
      <c r="D44" s="309">
        <v>170400000</v>
      </c>
      <c r="E44" s="309">
        <f>O54</f>
        <v>192840000</v>
      </c>
      <c r="F44" s="309">
        <f>E44-D44</f>
        <v>22440000</v>
      </c>
      <c r="G44" s="323" t="s">
        <v>106</v>
      </c>
      <c r="H44" s="324"/>
      <c r="I44" s="324"/>
      <c r="J44" s="324"/>
      <c r="K44" s="324"/>
      <c r="L44" s="324"/>
      <c r="M44" s="324"/>
      <c r="N44" s="324"/>
      <c r="O44" s="66"/>
    </row>
    <row r="45" spans="1:15" ht="20.100000000000001" customHeight="1">
      <c r="A45" s="326"/>
      <c r="B45" s="306"/>
      <c r="C45" s="306"/>
      <c r="D45" s="310"/>
      <c r="E45" s="310"/>
      <c r="F45" s="364"/>
      <c r="G45" s="361" t="s">
        <v>269</v>
      </c>
      <c r="H45" s="316"/>
      <c r="I45" s="316"/>
      <c r="J45" s="315">
        <v>150000</v>
      </c>
      <c r="K45" s="315"/>
      <c r="L45" s="315"/>
      <c r="M45" s="315"/>
      <c r="N45" s="62" t="s">
        <v>17</v>
      </c>
      <c r="O45" s="63">
        <f>46*150000*12</f>
        <v>82800000</v>
      </c>
    </row>
    <row r="46" spans="1:15" ht="20.100000000000001" customHeight="1">
      <c r="A46" s="326"/>
      <c r="B46" s="306"/>
      <c r="C46" s="306"/>
      <c r="D46" s="310"/>
      <c r="E46" s="310"/>
      <c r="F46" s="364"/>
      <c r="G46" s="323" t="s">
        <v>108</v>
      </c>
      <c r="H46" s="324"/>
      <c r="I46" s="324"/>
      <c r="J46" s="324"/>
      <c r="K46" s="324"/>
      <c r="L46" s="324"/>
      <c r="M46" s="324"/>
      <c r="N46" s="324"/>
      <c r="O46" s="67"/>
    </row>
    <row r="47" spans="1:15" ht="20.100000000000001" customHeight="1">
      <c r="A47" s="326"/>
      <c r="B47" s="306"/>
      <c r="C47" s="306"/>
      <c r="D47" s="310"/>
      <c r="E47" s="310"/>
      <c r="F47" s="364"/>
      <c r="G47" s="361" t="s">
        <v>107</v>
      </c>
      <c r="H47" s="316"/>
      <c r="I47" s="316"/>
      <c r="J47" s="315">
        <v>60000</v>
      </c>
      <c r="K47" s="315"/>
      <c r="L47" s="315"/>
      <c r="M47" s="315"/>
      <c r="N47" s="62" t="s">
        <v>17</v>
      </c>
      <c r="O47" s="63">
        <f>30*60000*12</f>
        <v>21600000</v>
      </c>
    </row>
    <row r="48" spans="1:15" ht="20.100000000000001" customHeight="1">
      <c r="A48" s="326"/>
      <c r="B48" s="306"/>
      <c r="C48" s="306"/>
      <c r="D48" s="310"/>
      <c r="E48" s="310"/>
      <c r="F48" s="364"/>
      <c r="G48" s="323" t="s">
        <v>109</v>
      </c>
      <c r="H48" s="324"/>
      <c r="I48" s="324"/>
      <c r="J48" s="324"/>
      <c r="K48" s="324"/>
      <c r="L48" s="324"/>
      <c r="M48" s="324"/>
      <c r="N48" s="324"/>
      <c r="O48" s="67"/>
    </row>
    <row r="49" spans="1:15" ht="20.100000000000001" customHeight="1">
      <c r="A49" s="326"/>
      <c r="B49" s="306"/>
      <c r="C49" s="306"/>
      <c r="D49" s="310"/>
      <c r="E49" s="310"/>
      <c r="F49" s="364"/>
      <c r="G49" s="361" t="s">
        <v>196</v>
      </c>
      <c r="H49" s="316"/>
      <c r="I49" s="316"/>
      <c r="J49" s="315">
        <v>40000</v>
      </c>
      <c r="K49" s="315"/>
      <c r="L49" s="315"/>
      <c r="M49" s="315"/>
      <c r="N49" s="62" t="s">
        <v>17</v>
      </c>
      <c r="O49" s="63">
        <f>15*40000*12</f>
        <v>7200000</v>
      </c>
    </row>
    <row r="50" spans="1:15" ht="20.100000000000001" customHeight="1">
      <c r="A50" s="326"/>
      <c r="B50" s="306"/>
      <c r="C50" s="306"/>
      <c r="D50" s="310"/>
      <c r="E50" s="310"/>
      <c r="F50" s="364"/>
      <c r="G50" s="323" t="s">
        <v>110</v>
      </c>
      <c r="H50" s="324"/>
      <c r="I50" s="324"/>
      <c r="J50" s="324"/>
      <c r="K50" s="324"/>
      <c r="L50" s="324"/>
      <c r="M50" s="324"/>
      <c r="N50" s="324"/>
      <c r="O50" s="67"/>
    </row>
    <row r="51" spans="1:15" ht="20.100000000000001" customHeight="1">
      <c r="A51" s="326"/>
      <c r="B51" s="306"/>
      <c r="C51" s="306"/>
      <c r="D51" s="310"/>
      <c r="E51" s="310"/>
      <c r="F51" s="364"/>
      <c r="G51" s="361" t="s">
        <v>270</v>
      </c>
      <c r="H51" s="316"/>
      <c r="I51" s="316"/>
      <c r="J51" s="315">
        <v>70000</v>
      </c>
      <c r="K51" s="315"/>
      <c r="L51" s="315"/>
      <c r="M51" s="315"/>
      <c r="N51" s="62" t="s">
        <v>17</v>
      </c>
      <c r="O51" s="63">
        <f>11*70000*12</f>
        <v>9240000</v>
      </c>
    </row>
    <row r="52" spans="1:15" ht="20.100000000000001" customHeight="1">
      <c r="A52" s="326"/>
      <c r="B52" s="306"/>
      <c r="C52" s="306"/>
      <c r="D52" s="310"/>
      <c r="E52" s="310"/>
      <c r="F52" s="364"/>
      <c r="G52" s="323" t="s">
        <v>199</v>
      </c>
      <c r="H52" s="324"/>
      <c r="I52" s="324"/>
      <c r="J52" s="324"/>
      <c r="K52" s="324"/>
      <c r="L52" s="324"/>
      <c r="M52" s="324"/>
      <c r="N52" s="324"/>
      <c r="O52" s="67"/>
    </row>
    <row r="53" spans="1:15" ht="20.100000000000001" customHeight="1">
      <c r="A53" s="326"/>
      <c r="B53" s="306"/>
      <c r="C53" s="306"/>
      <c r="D53" s="310"/>
      <c r="E53" s="310"/>
      <c r="F53" s="364"/>
      <c r="G53" s="314">
        <v>6000000</v>
      </c>
      <c r="H53" s="315"/>
      <c r="I53" s="315"/>
      <c r="J53" s="315"/>
      <c r="K53" s="315"/>
      <c r="L53" s="315"/>
      <c r="M53" s="315"/>
      <c r="N53" s="62" t="s">
        <v>17</v>
      </c>
      <c r="O53" s="63">
        <f>6000000*12</f>
        <v>72000000</v>
      </c>
    </row>
    <row r="54" spans="1:15" ht="20.100000000000001" customHeight="1">
      <c r="A54" s="326"/>
      <c r="B54" s="306"/>
      <c r="C54" s="307"/>
      <c r="D54" s="311"/>
      <c r="E54" s="311"/>
      <c r="F54" s="365"/>
      <c r="G54" s="323"/>
      <c r="H54" s="324"/>
      <c r="I54" s="324"/>
      <c r="J54" s="324"/>
      <c r="K54" s="324"/>
      <c r="L54" s="324"/>
      <c r="M54" s="324"/>
      <c r="N54" s="324"/>
      <c r="O54" s="68">
        <f>O45+O47+O49+O51+O53</f>
        <v>192840000</v>
      </c>
    </row>
    <row r="55" spans="1:15" ht="20.100000000000001" customHeight="1">
      <c r="A55" s="326"/>
      <c r="B55" s="306"/>
      <c r="C55" s="305" t="s">
        <v>202</v>
      </c>
      <c r="D55" s="367">
        <v>68970400</v>
      </c>
      <c r="E55" s="367">
        <f>O57</f>
        <v>102382330</v>
      </c>
      <c r="F55" s="309">
        <f>E55-D55</f>
        <v>33411930</v>
      </c>
      <c r="G55" s="341" t="s">
        <v>111</v>
      </c>
      <c r="H55" s="342"/>
      <c r="I55" s="342"/>
      <c r="J55" s="342"/>
      <c r="K55" s="342"/>
      <c r="L55" s="342"/>
      <c r="M55" s="342"/>
      <c r="N55" s="342"/>
      <c r="O55" s="69"/>
    </row>
    <row r="56" spans="1:15" ht="20.100000000000001" customHeight="1">
      <c r="A56" s="326"/>
      <c r="B56" s="306"/>
      <c r="C56" s="306"/>
      <c r="D56" s="368"/>
      <c r="E56" s="368"/>
      <c r="F56" s="310"/>
      <c r="G56" s="314">
        <f>E7+E44</f>
        <v>1228587960</v>
      </c>
      <c r="H56" s="315"/>
      <c r="I56" s="315"/>
      <c r="J56" s="315"/>
      <c r="K56" s="315"/>
      <c r="L56" s="315"/>
      <c r="M56" s="315"/>
      <c r="N56" s="90" t="s">
        <v>200</v>
      </c>
      <c r="O56" s="63">
        <f>G56/12</f>
        <v>102382330</v>
      </c>
    </row>
    <row r="57" spans="1:15" ht="20.100000000000001" customHeight="1">
      <c r="A57" s="326"/>
      <c r="B57" s="306"/>
      <c r="C57" s="307"/>
      <c r="D57" s="369"/>
      <c r="E57" s="369"/>
      <c r="F57" s="311"/>
      <c r="G57" s="370"/>
      <c r="H57" s="371"/>
      <c r="I57" s="371"/>
      <c r="J57" s="371"/>
      <c r="K57" s="371"/>
      <c r="L57" s="371"/>
      <c r="M57" s="371"/>
      <c r="N57" s="71"/>
      <c r="O57" s="65">
        <f>O56</f>
        <v>102382330</v>
      </c>
    </row>
    <row r="58" spans="1:15" ht="20.100000000000001" customHeight="1">
      <c r="A58" s="326"/>
      <c r="B58" s="306"/>
      <c r="C58" s="305" t="s">
        <v>203</v>
      </c>
      <c r="D58" s="367">
        <v>88251750</v>
      </c>
      <c r="E58" s="367">
        <f>O66</f>
        <v>106272858.53999999</v>
      </c>
      <c r="F58" s="309">
        <f>E58-D58</f>
        <v>18021108.539999992</v>
      </c>
      <c r="G58" s="341" t="s">
        <v>201</v>
      </c>
      <c r="H58" s="342"/>
      <c r="I58" s="342"/>
      <c r="J58" s="342"/>
      <c r="K58" s="342"/>
      <c r="L58" s="342"/>
      <c r="M58" s="342"/>
      <c r="N58" s="342"/>
      <c r="O58" s="69"/>
    </row>
    <row r="59" spans="1:15" ht="20.100000000000001" customHeight="1">
      <c r="A59" s="326"/>
      <c r="B59" s="306"/>
      <c r="C59" s="306"/>
      <c r="D59" s="368"/>
      <c r="E59" s="368"/>
      <c r="F59" s="310"/>
      <c r="G59" s="314">
        <f>G56</f>
        <v>1228587960</v>
      </c>
      <c r="H59" s="315"/>
      <c r="I59" s="315"/>
      <c r="J59" s="315"/>
      <c r="K59" s="315"/>
      <c r="L59" s="315"/>
      <c r="M59" s="315"/>
      <c r="N59" s="70">
        <v>2.9950000000000001E-2</v>
      </c>
      <c r="O59" s="63">
        <f>G59*3%</f>
        <v>36857638.799999997</v>
      </c>
    </row>
    <row r="60" spans="1:15" ht="20.100000000000001" customHeight="1">
      <c r="A60" s="326"/>
      <c r="B60" s="306"/>
      <c r="C60" s="306"/>
      <c r="D60" s="368"/>
      <c r="E60" s="368"/>
      <c r="F60" s="310"/>
      <c r="G60" s="323" t="s">
        <v>112</v>
      </c>
      <c r="H60" s="324"/>
      <c r="I60" s="324"/>
      <c r="J60" s="324"/>
      <c r="K60" s="324"/>
      <c r="L60" s="324"/>
      <c r="M60" s="324"/>
      <c r="N60" s="324"/>
      <c r="O60" s="67"/>
    </row>
    <row r="61" spans="1:15" ht="20.100000000000001" customHeight="1">
      <c r="A61" s="326"/>
      <c r="B61" s="306"/>
      <c r="C61" s="306"/>
      <c r="D61" s="368"/>
      <c r="E61" s="368"/>
      <c r="F61" s="310"/>
      <c r="G61" s="314">
        <f>G56</f>
        <v>1228587960</v>
      </c>
      <c r="H61" s="315"/>
      <c r="I61" s="315"/>
      <c r="J61" s="315"/>
      <c r="K61" s="315"/>
      <c r="L61" s="315"/>
      <c r="M61" s="315"/>
      <c r="N61" s="70">
        <v>4.4999999999999998E-2</v>
      </c>
      <c r="O61" s="63">
        <f>G61*4.5%</f>
        <v>55286458.199999996</v>
      </c>
    </row>
    <row r="62" spans="1:15" ht="20.100000000000001" customHeight="1">
      <c r="A62" s="326"/>
      <c r="B62" s="306"/>
      <c r="C62" s="306"/>
      <c r="D62" s="368"/>
      <c r="E62" s="368"/>
      <c r="F62" s="310"/>
      <c r="G62" s="323" t="s">
        <v>113</v>
      </c>
      <c r="H62" s="324"/>
      <c r="I62" s="324"/>
      <c r="J62" s="324"/>
      <c r="K62" s="324"/>
      <c r="L62" s="324"/>
      <c r="M62" s="324"/>
      <c r="N62" s="324"/>
      <c r="O62" s="67"/>
    </row>
    <row r="63" spans="1:15" ht="20.100000000000001" customHeight="1">
      <c r="A63" s="326"/>
      <c r="B63" s="306"/>
      <c r="C63" s="306"/>
      <c r="D63" s="368"/>
      <c r="E63" s="368"/>
      <c r="F63" s="310"/>
      <c r="G63" s="314">
        <f>G56</f>
        <v>1228587960</v>
      </c>
      <c r="H63" s="315"/>
      <c r="I63" s="315"/>
      <c r="J63" s="315"/>
      <c r="K63" s="315"/>
      <c r="L63" s="315"/>
      <c r="M63" s="315"/>
      <c r="N63" s="70">
        <v>6.4999999999999997E-3</v>
      </c>
      <c r="O63" s="63">
        <f>G63*0.65%</f>
        <v>7985821.7400000012</v>
      </c>
    </row>
    <row r="64" spans="1:15" ht="20.100000000000001" customHeight="1">
      <c r="A64" s="326"/>
      <c r="B64" s="306"/>
      <c r="C64" s="306"/>
      <c r="D64" s="368"/>
      <c r="E64" s="368"/>
      <c r="F64" s="310"/>
      <c r="G64" s="323" t="s">
        <v>114</v>
      </c>
      <c r="H64" s="324"/>
      <c r="I64" s="324"/>
      <c r="J64" s="324"/>
      <c r="K64" s="324"/>
      <c r="L64" s="324"/>
      <c r="M64" s="324"/>
      <c r="N64" s="324"/>
      <c r="O64" s="67"/>
    </row>
    <row r="65" spans="1:15" ht="20.100000000000001" customHeight="1">
      <c r="A65" s="326"/>
      <c r="B65" s="306"/>
      <c r="C65" s="306"/>
      <c r="D65" s="368"/>
      <c r="E65" s="368"/>
      <c r="F65" s="310"/>
      <c r="G65" s="314">
        <f>G56</f>
        <v>1228587960</v>
      </c>
      <c r="H65" s="315"/>
      <c r="I65" s="315"/>
      <c r="J65" s="315"/>
      <c r="K65" s="315"/>
      <c r="L65" s="315"/>
      <c r="M65" s="315"/>
      <c r="N65" s="70">
        <v>5.0000000000000001E-3</v>
      </c>
      <c r="O65" s="63">
        <f>G65*0.5%</f>
        <v>6142939.7999999998</v>
      </c>
    </row>
    <row r="66" spans="1:15" ht="20.100000000000001" customHeight="1">
      <c r="A66" s="326"/>
      <c r="B66" s="306"/>
      <c r="C66" s="307"/>
      <c r="D66" s="369"/>
      <c r="E66" s="369"/>
      <c r="F66" s="311"/>
      <c r="G66" s="370"/>
      <c r="H66" s="371"/>
      <c r="I66" s="371"/>
      <c r="J66" s="371"/>
      <c r="K66" s="371"/>
      <c r="L66" s="371"/>
      <c r="M66" s="371"/>
      <c r="N66" s="371"/>
      <c r="O66" s="65">
        <f>O59+O61+O63+O65</f>
        <v>106272858.53999999</v>
      </c>
    </row>
    <row r="67" spans="1:15" ht="20.100000000000001" customHeight="1">
      <c r="A67" s="326"/>
      <c r="B67" s="306"/>
      <c r="C67" s="305" t="s">
        <v>265</v>
      </c>
      <c r="D67" s="309">
        <v>16400000</v>
      </c>
      <c r="E67" s="309">
        <f>O69</f>
        <v>0</v>
      </c>
      <c r="F67" s="309">
        <f>E67-D67</f>
        <v>-16400000</v>
      </c>
      <c r="G67" s="312" t="s">
        <v>266</v>
      </c>
      <c r="H67" s="313"/>
      <c r="I67" s="313"/>
      <c r="J67" s="313"/>
      <c r="K67" s="313"/>
      <c r="L67" s="313"/>
      <c r="M67" s="313"/>
      <c r="N67" s="62"/>
      <c r="O67" s="92"/>
    </row>
    <row r="68" spans="1:15" ht="20.100000000000001" customHeight="1">
      <c r="A68" s="326"/>
      <c r="B68" s="306"/>
      <c r="C68" s="306"/>
      <c r="D68" s="310"/>
      <c r="E68" s="310"/>
      <c r="F68" s="310"/>
      <c r="G68" s="61"/>
      <c r="H68" s="62"/>
      <c r="I68" s="62"/>
      <c r="J68" s="62"/>
      <c r="K68" s="62"/>
      <c r="L68" s="62"/>
      <c r="M68" s="62"/>
      <c r="N68" s="62"/>
      <c r="O68" s="92">
        <v>0</v>
      </c>
    </row>
    <row r="69" spans="1:15" ht="20.100000000000001" customHeight="1">
      <c r="A69" s="326"/>
      <c r="B69" s="307"/>
      <c r="C69" s="307"/>
      <c r="D69" s="311"/>
      <c r="E69" s="311"/>
      <c r="F69" s="311"/>
      <c r="G69" s="61"/>
      <c r="H69" s="62"/>
      <c r="I69" s="62"/>
      <c r="J69" s="62"/>
      <c r="K69" s="62"/>
      <c r="L69" s="62"/>
      <c r="M69" s="62"/>
      <c r="N69" s="62"/>
      <c r="O69" s="93">
        <f>O68</f>
        <v>0</v>
      </c>
    </row>
    <row r="70" spans="1:15" ht="20.100000000000001" customHeight="1">
      <c r="A70" s="326"/>
      <c r="B70" s="305" t="s">
        <v>204</v>
      </c>
      <c r="C70" s="305" t="s">
        <v>205</v>
      </c>
      <c r="D70" s="367">
        <v>1800000</v>
      </c>
      <c r="E70" s="367">
        <f>O72</f>
        <v>1800000</v>
      </c>
      <c r="F70" s="309">
        <f>E70-D70</f>
        <v>0</v>
      </c>
      <c r="G70" s="341" t="s">
        <v>118</v>
      </c>
      <c r="H70" s="342"/>
      <c r="I70" s="342"/>
      <c r="J70" s="342"/>
      <c r="K70" s="342"/>
      <c r="L70" s="342"/>
      <c r="M70" s="342"/>
      <c r="N70" s="342"/>
      <c r="O70" s="69"/>
    </row>
    <row r="71" spans="1:15" ht="20.100000000000001" customHeight="1">
      <c r="A71" s="326"/>
      <c r="B71" s="306"/>
      <c r="C71" s="306"/>
      <c r="D71" s="368"/>
      <c r="E71" s="368"/>
      <c r="F71" s="310"/>
      <c r="G71" s="314">
        <v>150000</v>
      </c>
      <c r="H71" s="315"/>
      <c r="I71" s="315"/>
      <c r="J71" s="315"/>
      <c r="K71" s="315"/>
      <c r="L71" s="315"/>
      <c r="M71" s="315"/>
      <c r="N71" s="62" t="s">
        <v>17</v>
      </c>
      <c r="O71" s="63">
        <f>G71*12</f>
        <v>1800000</v>
      </c>
    </row>
    <row r="72" spans="1:15" ht="20.100000000000001" customHeight="1">
      <c r="A72" s="326"/>
      <c r="B72" s="306"/>
      <c r="C72" s="307"/>
      <c r="D72" s="369"/>
      <c r="E72" s="369"/>
      <c r="F72" s="311"/>
      <c r="G72" s="370"/>
      <c r="H72" s="371"/>
      <c r="I72" s="371"/>
      <c r="J72" s="371"/>
      <c r="K72" s="371"/>
      <c r="L72" s="371"/>
      <c r="M72" s="371"/>
      <c r="N72" s="71"/>
      <c r="O72" s="65">
        <f>SUM(O71)</f>
        <v>1800000</v>
      </c>
    </row>
    <row r="73" spans="1:15" ht="20.100000000000001" customHeight="1">
      <c r="A73" s="326"/>
      <c r="B73" s="306"/>
      <c r="C73" s="305" t="s">
        <v>206</v>
      </c>
      <c r="D73" s="335">
        <v>12000000</v>
      </c>
      <c r="E73" s="335">
        <f>O77</f>
        <v>12000000</v>
      </c>
      <c r="F73" s="338">
        <f>E73-D73</f>
        <v>0</v>
      </c>
      <c r="G73" s="341" t="s">
        <v>119</v>
      </c>
      <c r="H73" s="342"/>
      <c r="I73" s="342"/>
      <c r="J73" s="342"/>
      <c r="K73" s="342"/>
      <c r="L73" s="342"/>
      <c r="M73" s="342"/>
      <c r="N73" s="342"/>
      <c r="O73" s="69"/>
    </row>
    <row r="74" spans="1:15" ht="20.100000000000001" customHeight="1">
      <c r="A74" s="326"/>
      <c r="B74" s="306"/>
      <c r="C74" s="306"/>
      <c r="D74" s="336"/>
      <c r="E74" s="336"/>
      <c r="F74" s="339"/>
      <c r="G74" s="314">
        <v>500000</v>
      </c>
      <c r="H74" s="315"/>
      <c r="I74" s="315"/>
      <c r="J74" s="315"/>
      <c r="K74" s="315"/>
      <c r="L74" s="315"/>
      <c r="M74" s="315"/>
      <c r="N74" s="62" t="s">
        <v>17</v>
      </c>
      <c r="O74" s="63">
        <f>G74*12</f>
        <v>6000000</v>
      </c>
    </row>
    <row r="75" spans="1:15" ht="20.100000000000001" customHeight="1">
      <c r="A75" s="326"/>
      <c r="B75" s="306"/>
      <c r="C75" s="306"/>
      <c r="D75" s="336"/>
      <c r="E75" s="336"/>
      <c r="F75" s="339"/>
      <c r="G75" s="323" t="s">
        <v>120</v>
      </c>
      <c r="H75" s="324"/>
      <c r="I75" s="324"/>
      <c r="J75" s="324"/>
      <c r="K75" s="324"/>
      <c r="L75" s="324"/>
      <c r="M75" s="324"/>
      <c r="N75" s="324"/>
      <c r="O75" s="67"/>
    </row>
    <row r="76" spans="1:15" ht="20.100000000000001" customHeight="1">
      <c r="A76" s="326"/>
      <c r="B76" s="306"/>
      <c r="C76" s="306"/>
      <c r="D76" s="336"/>
      <c r="E76" s="336"/>
      <c r="F76" s="339"/>
      <c r="G76" s="314">
        <v>500000</v>
      </c>
      <c r="H76" s="315"/>
      <c r="I76" s="315"/>
      <c r="J76" s="315"/>
      <c r="K76" s="315"/>
      <c r="L76" s="315"/>
      <c r="M76" s="315"/>
      <c r="N76" s="62" t="s">
        <v>17</v>
      </c>
      <c r="O76" s="63">
        <f>G76*12</f>
        <v>6000000</v>
      </c>
    </row>
    <row r="77" spans="1:15" ht="20.100000000000001" customHeight="1">
      <c r="A77" s="326"/>
      <c r="B77" s="306"/>
      <c r="C77" s="307"/>
      <c r="D77" s="337"/>
      <c r="E77" s="337"/>
      <c r="F77" s="340"/>
      <c r="G77" s="370"/>
      <c r="H77" s="371"/>
      <c r="I77" s="371"/>
      <c r="J77" s="371"/>
      <c r="K77" s="371"/>
      <c r="L77" s="371"/>
      <c r="M77" s="371"/>
      <c r="N77" s="71"/>
      <c r="O77" s="65">
        <v>12000000</v>
      </c>
    </row>
    <row r="78" spans="1:15" ht="20.100000000000001" customHeight="1">
      <c r="A78" s="326"/>
      <c r="B78" s="306"/>
      <c r="C78" s="305" t="s">
        <v>207</v>
      </c>
      <c r="D78" s="338">
        <v>1200000</v>
      </c>
      <c r="E78" s="338">
        <f>O80</f>
        <v>1200000</v>
      </c>
      <c r="F78" s="338">
        <f>E78-D78</f>
        <v>0</v>
      </c>
      <c r="G78" s="341" t="s">
        <v>121</v>
      </c>
      <c r="H78" s="342"/>
      <c r="I78" s="342"/>
      <c r="J78" s="342"/>
      <c r="K78" s="342"/>
      <c r="L78" s="342"/>
      <c r="M78" s="342"/>
      <c r="N78" s="342"/>
      <c r="O78" s="69"/>
    </row>
    <row r="79" spans="1:15" ht="20.100000000000001" customHeight="1">
      <c r="A79" s="326"/>
      <c r="B79" s="306"/>
      <c r="C79" s="306"/>
      <c r="D79" s="339"/>
      <c r="E79" s="339"/>
      <c r="F79" s="339"/>
      <c r="G79" s="314">
        <v>300000</v>
      </c>
      <c r="H79" s="315"/>
      <c r="I79" s="315"/>
      <c r="J79" s="315"/>
      <c r="K79" s="315"/>
      <c r="L79" s="315"/>
      <c r="M79" s="315"/>
      <c r="N79" s="62" t="s">
        <v>122</v>
      </c>
      <c r="O79" s="63">
        <f>G79*4</f>
        <v>1200000</v>
      </c>
    </row>
    <row r="80" spans="1:15" ht="20.100000000000001" customHeight="1">
      <c r="A80" s="326"/>
      <c r="B80" s="333"/>
      <c r="C80" s="307"/>
      <c r="D80" s="340"/>
      <c r="E80" s="340"/>
      <c r="F80" s="340"/>
      <c r="G80" s="370"/>
      <c r="H80" s="371"/>
      <c r="I80" s="371"/>
      <c r="J80" s="371"/>
      <c r="K80" s="371"/>
      <c r="L80" s="371"/>
      <c r="M80" s="371"/>
      <c r="N80" s="71"/>
      <c r="O80" s="65">
        <f>O79</f>
        <v>1200000</v>
      </c>
    </row>
    <row r="81" spans="1:15" ht="24" customHeight="1">
      <c r="A81" s="326"/>
      <c r="B81" s="334" t="s">
        <v>208</v>
      </c>
      <c r="C81" s="305" t="s">
        <v>209</v>
      </c>
      <c r="D81" s="335">
        <v>400000</v>
      </c>
      <c r="E81" s="335">
        <f>O83</f>
        <v>800000</v>
      </c>
      <c r="F81" s="338">
        <f>E81-D81</f>
        <v>400000</v>
      </c>
      <c r="G81" s="341" t="s">
        <v>123</v>
      </c>
      <c r="H81" s="342"/>
      <c r="I81" s="342"/>
      <c r="J81" s="342"/>
      <c r="K81" s="342"/>
      <c r="L81" s="342"/>
      <c r="M81" s="342"/>
      <c r="N81" s="342"/>
      <c r="O81" s="69"/>
    </row>
    <row r="82" spans="1:15" ht="24" customHeight="1">
      <c r="A82" s="326"/>
      <c r="B82" s="306"/>
      <c r="C82" s="306"/>
      <c r="D82" s="336"/>
      <c r="E82" s="336"/>
      <c r="F82" s="339"/>
      <c r="G82" s="314">
        <v>200000</v>
      </c>
      <c r="H82" s="315"/>
      <c r="I82" s="315"/>
      <c r="J82" s="315"/>
      <c r="K82" s="315"/>
      <c r="L82" s="315"/>
      <c r="M82" s="315"/>
      <c r="N82" s="62" t="s">
        <v>124</v>
      </c>
      <c r="O82" s="63">
        <f>G82*4</f>
        <v>800000</v>
      </c>
    </row>
    <row r="83" spans="1:15" ht="24" customHeight="1">
      <c r="A83" s="326"/>
      <c r="B83" s="306"/>
      <c r="C83" s="307"/>
      <c r="D83" s="337"/>
      <c r="E83" s="337"/>
      <c r="F83" s="340"/>
      <c r="G83" s="370"/>
      <c r="H83" s="371"/>
      <c r="I83" s="371"/>
      <c r="J83" s="371"/>
      <c r="K83" s="371"/>
      <c r="L83" s="371"/>
      <c r="M83" s="371"/>
      <c r="N83" s="71"/>
      <c r="O83" s="65">
        <f>O82</f>
        <v>800000</v>
      </c>
    </row>
    <row r="84" spans="1:15" ht="21.95" customHeight="1">
      <c r="A84" s="326"/>
      <c r="B84" s="306"/>
      <c r="C84" s="305" t="s">
        <v>210</v>
      </c>
      <c r="D84" s="367">
        <v>53200000</v>
      </c>
      <c r="E84" s="367">
        <f>O118</f>
        <v>56680000</v>
      </c>
      <c r="F84" s="309">
        <f>E84-D84</f>
        <v>3480000</v>
      </c>
      <c r="G84" s="341" t="s">
        <v>125</v>
      </c>
      <c r="H84" s="342"/>
      <c r="I84" s="342"/>
      <c r="J84" s="342"/>
      <c r="K84" s="342"/>
      <c r="L84" s="342"/>
      <c r="M84" s="342"/>
      <c r="N84" s="342"/>
      <c r="O84" s="69"/>
    </row>
    <row r="85" spans="1:15" ht="21.95" customHeight="1">
      <c r="A85" s="326"/>
      <c r="B85" s="306"/>
      <c r="C85" s="306"/>
      <c r="D85" s="368"/>
      <c r="E85" s="368"/>
      <c r="F85" s="310"/>
      <c r="G85" s="314">
        <v>500000</v>
      </c>
      <c r="H85" s="315"/>
      <c r="I85" s="315"/>
      <c r="J85" s="315"/>
      <c r="K85" s="315"/>
      <c r="L85" s="315"/>
      <c r="M85" s="315"/>
      <c r="N85" s="62" t="s">
        <v>17</v>
      </c>
      <c r="O85" s="63">
        <f>G85*12</f>
        <v>6000000</v>
      </c>
    </row>
    <row r="86" spans="1:15" ht="21.95" customHeight="1">
      <c r="A86" s="326"/>
      <c r="B86" s="306"/>
      <c r="C86" s="306"/>
      <c r="D86" s="368"/>
      <c r="E86" s="368"/>
      <c r="F86" s="310"/>
      <c r="G86" s="323" t="s">
        <v>218</v>
      </c>
      <c r="H86" s="324"/>
      <c r="I86" s="324"/>
      <c r="J86" s="324"/>
      <c r="K86" s="324"/>
      <c r="L86" s="324"/>
      <c r="M86" s="324"/>
      <c r="N86" s="324"/>
      <c r="O86" s="67"/>
    </row>
    <row r="87" spans="1:15" ht="21.95" customHeight="1">
      <c r="A87" s="326"/>
      <c r="B87" s="306"/>
      <c r="C87" s="306"/>
      <c r="D87" s="368"/>
      <c r="E87" s="368"/>
      <c r="F87" s="310"/>
      <c r="G87" s="314">
        <v>100000</v>
      </c>
      <c r="H87" s="315"/>
      <c r="I87" s="315"/>
      <c r="J87" s="315"/>
      <c r="K87" s="315"/>
      <c r="L87" s="315"/>
      <c r="M87" s="315"/>
      <c r="N87" s="62" t="s">
        <v>215</v>
      </c>
      <c r="O87" s="63">
        <f>G87*4</f>
        <v>400000</v>
      </c>
    </row>
    <row r="88" spans="1:15" ht="21.95" customHeight="1">
      <c r="A88" s="326"/>
      <c r="B88" s="306"/>
      <c r="C88" s="306"/>
      <c r="D88" s="368"/>
      <c r="E88" s="368"/>
      <c r="F88" s="310"/>
      <c r="G88" s="323" t="s">
        <v>126</v>
      </c>
      <c r="H88" s="324"/>
      <c r="I88" s="324"/>
      <c r="J88" s="324"/>
      <c r="K88" s="324"/>
      <c r="L88" s="324"/>
      <c r="M88" s="324"/>
      <c r="N88" s="324"/>
      <c r="O88" s="64"/>
    </row>
    <row r="89" spans="1:15" ht="21.95" customHeight="1">
      <c r="A89" s="326"/>
      <c r="B89" s="306"/>
      <c r="C89" s="306"/>
      <c r="D89" s="368"/>
      <c r="E89" s="368"/>
      <c r="F89" s="310"/>
      <c r="G89" s="314">
        <v>1500000</v>
      </c>
      <c r="H89" s="315"/>
      <c r="I89" s="315"/>
      <c r="J89" s="315"/>
      <c r="K89" s="315"/>
      <c r="L89" s="315"/>
      <c r="M89" s="315"/>
      <c r="N89" s="62" t="s">
        <v>17</v>
      </c>
      <c r="O89" s="63">
        <f>G89*12</f>
        <v>18000000</v>
      </c>
    </row>
    <row r="90" spans="1:15" ht="21.95" customHeight="1">
      <c r="A90" s="326"/>
      <c r="B90" s="306"/>
      <c r="C90" s="306"/>
      <c r="D90" s="368"/>
      <c r="E90" s="368"/>
      <c r="F90" s="310"/>
      <c r="G90" s="323" t="s">
        <v>127</v>
      </c>
      <c r="H90" s="324"/>
      <c r="I90" s="324"/>
      <c r="J90" s="324"/>
      <c r="K90" s="324"/>
      <c r="L90" s="324"/>
      <c r="M90" s="324"/>
      <c r="N90" s="324"/>
      <c r="O90" s="64"/>
    </row>
    <row r="91" spans="1:15" ht="21.95" customHeight="1">
      <c r="A91" s="326"/>
      <c r="B91" s="306"/>
      <c r="C91" s="306"/>
      <c r="D91" s="368"/>
      <c r="E91" s="368"/>
      <c r="F91" s="310"/>
      <c r="G91" s="314">
        <v>300000</v>
      </c>
      <c r="H91" s="315"/>
      <c r="I91" s="315"/>
      <c r="J91" s="315"/>
      <c r="K91" s="315"/>
      <c r="L91" s="315"/>
      <c r="M91" s="315"/>
      <c r="N91" s="62" t="s">
        <v>17</v>
      </c>
      <c r="O91" s="63">
        <f>G91*12</f>
        <v>3600000</v>
      </c>
    </row>
    <row r="92" spans="1:15" ht="21.95" customHeight="1">
      <c r="A92" s="326"/>
      <c r="B92" s="306"/>
      <c r="C92" s="306"/>
      <c r="D92" s="368"/>
      <c r="E92" s="368"/>
      <c r="F92" s="310"/>
      <c r="G92" s="323" t="s">
        <v>128</v>
      </c>
      <c r="H92" s="324"/>
      <c r="I92" s="324"/>
      <c r="J92" s="324"/>
      <c r="K92" s="324"/>
      <c r="L92" s="324"/>
      <c r="M92" s="324"/>
      <c r="N92" s="324"/>
      <c r="O92" s="64"/>
    </row>
    <row r="93" spans="1:15" ht="21.95" customHeight="1">
      <c r="A93" s="326"/>
      <c r="B93" s="306"/>
      <c r="C93" s="306"/>
      <c r="D93" s="368"/>
      <c r="E93" s="368"/>
      <c r="F93" s="310"/>
      <c r="G93" s="314">
        <v>50000</v>
      </c>
      <c r="H93" s="315"/>
      <c r="I93" s="315"/>
      <c r="J93" s="315"/>
      <c r="K93" s="315"/>
      <c r="L93" s="315"/>
      <c r="M93" s="315"/>
      <c r="N93" s="62" t="s">
        <v>219</v>
      </c>
      <c r="O93" s="63">
        <f>G93*4</f>
        <v>200000</v>
      </c>
    </row>
    <row r="94" spans="1:15" ht="21.95" customHeight="1">
      <c r="A94" s="326"/>
      <c r="B94" s="306"/>
      <c r="C94" s="306"/>
      <c r="D94" s="368"/>
      <c r="E94" s="368"/>
      <c r="F94" s="310"/>
      <c r="G94" s="323" t="s">
        <v>129</v>
      </c>
      <c r="H94" s="324"/>
      <c r="I94" s="324"/>
      <c r="J94" s="324"/>
      <c r="K94" s="324"/>
      <c r="L94" s="324"/>
      <c r="M94" s="324"/>
      <c r="N94" s="324"/>
      <c r="O94" s="64"/>
    </row>
    <row r="95" spans="1:15" ht="21.95" customHeight="1">
      <c r="A95" s="326"/>
      <c r="B95" s="306"/>
      <c r="C95" s="306"/>
      <c r="D95" s="368"/>
      <c r="E95" s="368"/>
      <c r="F95" s="310"/>
      <c r="G95" s="314">
        <v>500000</v>
      </c>
      <c r="H95" s="315"/>
      <c r="I95" s="315"/>
      <c r="J95" s="315"/>
      <c r="K95" s="315"/>
      <c r="L95" s="315"/>
      <c r="M95" s="315"/>
      <c r="N95" s="62" t="s">
        <v>122</v>
      </c>
      <c r="O95" s="63">
        <f>G95*4</f>
        <v>2000000</v>
      </c>
    </row>
    <row r="96" spans="1:15" ht="21.95" customHeight="1">
      <c r="A96" s="326"/>
      <c r="B96" s="306"/>
      <c r="C96" s="306"/>
      <c r="D96" s="368"/>
      <c r="E96" s="368"/>
      <c r="F96" s="310"/>
      <c r="G96" s="323" t="s">
        <v>130</v>
      </c>
      <c r="H96" s="324"/>
      <c r="I96" s="324"/>
      <c r="J96" s="324"/>
      <c r="K96" s="324"/>
      <c r="L96" s="324"/>
      <c r="M96" s="324"/>
      <c r="N96" s="324"/>
      <c r="O96" s="64"/>
    </row>
    <row r="97" spans="1:15" ht="21.95" customHeight="1">
      <c r="A97" s="326"/>
      <c r="B97" s="306"/>
      <c r="C97" s="306"/>
      <c r="D97" s="368"/>
      <c r="E97" s="368"/>
      <c r="F97" s="310"/>
      <c r="G97" s="314">
        <v>200000</v>
      </c>
      <c r="H97" s="315"/>
      <c r="I97" s="315"/>
      <c r="J97" s="315"/>
      <c r="K97" s="315"/>
      <c r="L97" s="315"/>
      <c r="M97" s="315"/>
      <c r="N97" s="62" t="s">
        <v>17</v>
      </c>
      <c r="O97" s="63">
        <f>G97*12</f>
        <v>2400000</v>
      </c>
    </row>
    <row r="98" spans="1:15" ht="21.95" customHeight="1">
      <c r="A98" s="326"/>
      <c r="B98" s="306"/>
      <c r="C98" s="306"/>
      <c r="D98" s="368"/>
      <c r="E98" s="368"/>
      <c r="F98" s="310"/>
      <c r="G98" s="323" t="s">
        <v>131</v>
      </c>
      <c r="H98" s="324"/>
      <c r="I98" s="324"/>
      <c r="J98" s="324"/>
      <c r="K98" s="324"/>
      <c r="L98" s="324"/>
      <c r="M98" s="324"/>
      <c r="N98" s="62"/>
      <c r="O98" s="64"/>
    </row>
    <row r="99" spans="1:15" ht="21.95" customHeight="1">
      <c r="A99" s="326"/>
      <c r="B99" s="306"/>
      <c r="C99" s="306"/>
      <c r="D99" s="368"/>
      <c r="E99" s="368"/>
      <c r="F99" s="310"/>
      <c r="G99" s="314">
        <v>450000</v>
      </c>
      <c r="H99" s="315"/>
      <c r="I99" s="315"/>
      <c r="J99" s="315"/>
      <c r="K99" s="315"/>
      <c r="L99" s="315"/>
      <c r="M99" s="315"/>
      <c r="N99" s="62" t="s">
        <v>215</v>
      </c>
      <c r="O99" s="63">
        <f>G99*4</f>
        <v>1800000</v>
      </c>
    </row>
    <row r="100" spans="1:15" ht="21.95" customHeight="1">
      <c r="A100" s="326"/>
      <c r="B100" s="306"/>
      <c r="C100" s="306"/>
      <c r="D100" s="368"/>
      <c r="E100" s="368"/>
      <c r="F100" s="310"/>
      <c r="G100" s="323" t="s">
        <v>132</v>
      </c>
      <c r="H100" s="324"/>
      <c r="I100" s="324"/>
      <c r="J100" s="324"/>
      <c r="K100" s="324"/>
      <c r="L100" s="324"/>
      <c r="M100" s="324"/>
      <c r="N100" s="62"/>
      <c r="O100" s="64"/>
    </row>
    <row r="101" spans="1:15" ht="21.95" customHeight="1">
      <c r="A101" s="326"/>
      <c r="B101" s="306"/>
      <c r="C101" s="306"/>
      <c r="D101" s="368"/>
      <c r="E101" s="368"/>
      <c r="F101" s="310"/>
      <c r="G101" s="314">
        <v>700000</v>
      </c>
      <c r="H101" s="315"/>
      <c r="I101" s="315"/>
      <c r="J101" s="315"/>
      <c r="K101" s="315"/>
      <c r="L101" s="315"/>
      <c r="M101" s="315"/>
      <c r="N101" s="62" t="s">
        <v>17</v>
      </c>
      <c r="O101" s="63">
        <f>G101*12</f>
        <v>8400000</v>
      </c>
    </row>
    <row r="102" spans="1:15" ht="21.95" customHeight="1">
      <c r="A102" s="326"/>
      <c r="B102" s="306"/>
      <c r="C102" s="306"/>
      <c r="D102" s="368"/>
      <c r="E102" s="368"/>
      <c r="F102" s="310"/>
      <c r="G102" s="323" t="s">
        <v>133</v>
      </c>
      <c r="H102" s="324"/>
      <c r="I102" s="324"/>
      <c r="J102" s="324"/>
      <c r="K102" s="324"/>
      <c r="L102" s="324"/>
      <c r="M102" s="324"/>
      <c r="N102" s="62"/>
      <c r="O102" s="64"/>
    </row>
    <row r="103" spans="1:15" ht="21.95" customHeight="1">
      <c r="A103" s="326"/>
      <c r="B103" s="306"/>
      <c r="C103" s="306"/>
      <c r="D103" s="368"/>
      <c r="E103" s="368"/>
      <c r="F103" s="310"/>
      <c r="G103" s="314">
        <v>120000</v>
      </c>
      <c r="H103" s="315"/>
      <c r="I103" s="315"/>
      <c r="J103" s="315"/>
      <c r="K103" s="315"/>
      <c r="L103" s="315"/>
      <c r="M103" s="315"/>
      <c r="N103" s="62" t="s">
        <v>17</v>
      </c>
      <c r="O103" s="63">
        <f>G103*12</f>
        <v>1440000</v>
      </c>
    </row>
    <row r="104" spans="1:15" ht="21.95" customHeight="1">
      <c r="A104" s="326"/>
      <c r="B104" s="306"/>
      <c r="C104" s="306"/>
      <c r="D104" s="368"/>
      <c r="E104" s="368"/>
      <c r="F104" s="310"/>
      <c r="G104" s="323" t="s">
        <v>134</v>
      </c>
      <c r="H104" s="324"/>
      <c r="I104" s="324"/>
      <c r="J104" s="324"/>
      <c r="K104" s="324"/>
      <c r="L104" s="324"/>
      <c r="M104" s="324"/>
      <c r="N104" s="62"/>
      <c r="O104" s="64"/>
    </row>
    <row r="105" spans="1:15" ht="21.95" customHeight="1">
      <c r="A105" s="326"/>
      <c r="B105" s="306"/>
      <c r="C105" s="306"/>
      <c r="D105" s="368"/>
      <c r="E105" s="368"/>
      <c r="F105" s="310"/>
      <c r="G105" s="314">
        <v>150000</v>
      </c>
      <c r="H105" s="315"/>
      <c r="I105" s="315"/>
      <c r="J105" s="315"/>
      <c r="K105" s="315"/>
      <c r="L105" s="315"/>
      <c r="M105" s="315"/>
      <c r="N105" s="62" t="s">
        <v>17</v>
      </c>
      <c r="O105" s="63">
        <f>G105*12</f>
        <v>1800000</v>
      </c>
    </row>
    <row r="106" spans="1:15" ht="21.95" customHeight="1">
      <c r="A106" s="326"/>
      <c r="B106" s="306"/>
      <c r="C106" s="306"/>
      <c r="D106" s="368"/>
      <c r="E106" s="368"/>
      <c r="F106" s="310"/>
      <c r="G106" s="317" t="s">
        <v>211</v>
      </c>
      <c r="H106" s="318"/>
      <c r="I106" s="318"/>
      <c r="J106" s="318"/>
      <c r="K106" s="318"/>
      <c r="L106" s="318"/>
      <c r="M106" s="318"/>
      <c r="N106" s="62"/>
      <c r="O106" s="63"/>
    </row>
    <row r="107" spans="1:15" ht="21.95" customHeight="1">
      <c r="A107" s="326"/>
      <c r="B107" s="306"/>
      <c r="C107" s="306"/>
      <c r="D107" s="368"/>
      <c r="E107" s="368"/>
      <c r="F107" s="310"/>
      <c r="G107" s="314">
        <v>220000</v>
      </c>
      <c r="H107" s="315"/>
      <c r="I107" s="315"/>
      <c r="J107" s="315"/>
      <c r="K107" s="315"/>
      <c r="L107" s="315"/>
      <c r="M107" s="315"/>
      <c r="N107" s="62" t="s">
        <v>212</v>
      </c>
      <c r="O107" s="63">
        <f>G107*12</f>
        <v>2640000</v>
      </c>
    </row>
    <row r="108" spans="1:15" ht="21.95" customHeight="1">
      <c r="A108" s="326"/>
      <c r="B108" s="306"/>
      <c r="C108" s="306"/>
      <c r="D108" s="368"/>
      <c r="E108" s="368"/>
      <c r="F108" s="310"/>
      <c r="G108" s="317" t="s">
        <v>213</v>
      </c>
      <c r="H108" s="318"/>
      <c r="I108" s="318"/>
      <c r="J108" s="318"/>
      <c r="K108" s="318"/>
      <c r="L108" s="318"/>
      <c r="M108" s="318"/>
      <c r="N108" s="62"/>
      <c r="O108" s="63"/>
    </row>
    <row r="109" spans="1:15" ht="21.95" customHeight="1">
      <c r="A109" s="326"/>
      <c r="B109" s="306"/>
      <c r="C109" s="306"/>
      <c r="D109" s="368"/>
      <c r="E109" s="368"/>
      <c r="F109" s="310"/>
      <c r="G109" s="314">
        <v>50000</v>
      </c>
      <c r="H109" s="315"/>
      <c r="I109" s="315"/>
      <c r="J109" s="315"/>
      <c r="K109" s="315"/>
      <c r="L109" s="315"/>
      <c r="M109" s="315"/>
      <c r="N109" s="62" t="s">
        <v>212</v>
      </c>
      <c r="O109" s="63">
        <f>G109*12</f>
        <v>600000</v>
      </c>
    </row>
    <row r="110" spans="1:15" ht="21.95" customHeight="1">
      <c r="A110" s="326"/>
      <c r="B110" s="306"/>
      <c r="C110" s="306"/>
      <c r="D110" s="368"/>
      <c r="E110" s="368"/>
      <c r="F110" s="310"/>
      <c r="G110" s="317" t="s">
        <v>214</v>
      </c>
      <c r="H110" s="318"/>
      <c r="I110" s="318"/>
      <c r="J110" s="318"/>
      <c r="K110" s="318"/>
      <c r="L110" s="318"/>
      <c r="M110" s="318"/>
      <c r="N110" s="62"/>
      <c r="O110" s="63"/>
    </row>
    <row r="111" spans="1:15" ht="21.95" customHeight="1">
      <c r="A111" s="326"/>
      <c r="B111" s="306"/>
      <c r="C111" s="306"/>
      <c r="D111" s="368"/>
      <c r="E111" s="368"/>
      <c r="F111" s="310"/>
      <c r="G111" s="314">
        <v>50000</v>
      </c>
      <c r="H111" s="315"/>
      <c r="I111" s="315"/>
      <c r="J111" s="315"/>
      <c r="K111" s="315"/>
      <c r="L111" s="315"/>
      <c r="M111" s="315"/>
      <c r="N111" s="62" t="s">
        <v>212</v>
      </c>
      <c r="O111" s="63">
        <f>G111*12</f>
        <v>600000</v>
      </c>
    </row>
    <row r="112" spans="1:15" ht="23.1" customHeight="1">
      <c r="A112" s="326"/>
      <c r="B112" s="306"/>
      <c r="C112" s="306"/>
      <c r="D112" s="368"/>
      <c r="E112" s="368"/>
      <c r="F112" s="310"/>
      <c r="G112" s="317" t="s">
        <v>216</v>
      </c>
      <c r="H112" s="318"/>
      <c r="I112" s="318"/>
      <c r="J112" s="318"/>
      <c r="K112" s="318"/>
      <c r="L112" s="318"/>
      <c r="M112" s="318"/>
      <c r="N112" s="62"/>
      <c r="O112" s="63"/>
    </row>
    <row r="113" spans="1:15" ht="23.1" customHeight="1">
      <c r="A113" s="326"/>
      <c r="B113" s="306"/>
      <c r="C113" s="306"/>
      <c r="D113" s="368"/>
      <c r="E113" s="368"/>
      <c r="F113" s="310"/>
      <c r="G113" s="314">
        <v>100000</v>
      </c>
      <c r="H113" s="315"/>
      <c r="I113" s="315"/>
      <c r="J113" s="315"/>
      <c r="K113" s="315"/>
      <c r="L113" s="315"/>
      <c r="M113" s="315"/>
      <c r="N113" s="62" t="s">
        <v>212</v>
      </c>
      <c r="O113" s="63">
        <f>G113*12</f>
        <v>1200000</v>
      </c>
    </row>
    <row r="114" spans="1:15" ht="23.1" customHeight="1">
      <c r="A114" s="326"/>
      <c r="B114" s="306"/>
      <c r="C114" s="306"/>
      <c r="D114" s="368"/>
      <c r="E114" s="368"/>
      <c r="F114" s="310"/>
      <c r="G114" s="317" t="s">
        <v>217</v>
      </c>
      <c r="H114" s="318"/>
      <c r="I114" s="318"/>
      <c r="J114" s="318"/>
      <c r="K114" s="318"/>
      <c r="L114" s="318"/>
      <c r="M114" s="318"/>
      <c r="N114" s="62"/>
      <c r="O114" s="63"/>
    </row>
    <row r="115" spans="1:15" ht="23.1" customHeight="1">
      <c r="A115" s="326"/>
      <c r="B115" s="306"/>
      <c r="C115" s="306"/>
      <c r="D115" s="368"/>
      <c r="E115" s="368"/>
      <c r="F115" s="310"/>
      <c r="G115" s="314">
        <v>300000</v>
      </c>
      <c r="H115" s="315"/>
      <c r="I115" s="315"/>
      <c r="J115" s="315"/>
      <c r="K115" s="315"/>
      <c r="L115" s="315"/>
      <c r="M115" s="315"/>
      <c r="N115" s="62" t="s">
        <v>212</v>
      </c>
      <c r="O115" s="63">
        <f>G115*12</f>
        <v>3600000</v>
      </c>
    </row>
    <row r="116" spans="1:15" ht="23.1" customHeight="1">
      <c r="A116" s="326"/>
      <c r="B116" s="306"/>
      <c r="C116" s="306"/>
      <c r="D116" s="368"/>
      <c r="E116" s="368"/>
      <c r="F116" s="310"/>
      <c r="G116" s="323" t="s">
        <v>135</v>
      </c>
      <c r="H116" s="324"/>
      <c r="I116" s="324"/>
      <c r="J116" s="324"/>
      <c r="K116" s="324"/>
      <c r="L116" s="324"/>
      <c r="M116" s="324"/>
      <c r="N116" s="324"/>
      <c r="O116" s="64"/>
    </row>
    <row r="117" spans="1:15" ht="23.1" customHeight="1">
      <c r="A117" s="326"/>
      <c r="B117" s="306"/>
      <c r="C117" s="306"/>
      <c r="D117" s="368"/>
      <c r="E117" s="368"/>
      <c r="F117" s="310"/>
      <c r="G117" s="314">
        <v>500000</v>
      </c>
      <c r="H117" s="315"/>
      <c r="I117" s="315"/>
      <c r="J117" s="315"/>
      <c r="K117" s="315"/>
      <c r="L117" s="315"/>
      <c r="M117" s="315"/>
      <c r="N117" s="62" t="s">
        <v>122</v>
      </c>
      <c r="O117" s="63">
        <f>G117*4</f>
        <v>2000000</v>
      </c>
    </row>
    <row r="118" spans="1:15" ht="23.1" customHeight="1">
      <c r="A118" s="326"/>
      <c r="B118" s="306"/>
      <c r="C118" s="307"/>
      <c r="D118" s="369"/>
      <c r="E118" s="369"/>
      <c r="F118" s="311"/>
      <c r="G118" s="362"/>
      <c r="H118" s="363"/>
      <c r="I118" s="363"/>
      <c r="J118" s="363"/>
      <c r="K118" s="363"/>
      <c r="L118" s="363"/>
      <c r="M118" s="363"/>
      <c r="N118" s="363"/>
      <c r="O118" s="65">
        <f>SUM(O85:O117)</f>
        <v>56680000</v>
      </c>
    </row>
    <row r="119" spans="1:15" ht="23.1" customHeight="1">
      <c r="A119" s="326"/>
      <c r="B119" s="306"/>
      <c r="C119" s="305" t="s">
        <v>220</v>
      </c>
      <c r="D119" s="309">
        <v>65500000</v>
      </c>
      <c r="E119" s="309">
        <f>O137</f>
        <v>60500000</v>
      </c>
      <c r="F119" s="309">
        <f>E119-D119</f>
        <v>-5000000</v>
      </c>
      <c r="G119" s="341" t="s">
        <v>136</v>
      </c>
      <c r="H119" s="342"/>
      <c r="I119" s="342"/>
      <c r="J119" s="342"/>
      <c r="K119" s="342"/>
      <c r="L119" s="342"/>
      <c r="M119" s="342"/>
      <c r="N119" s="342"/>
      <c r="O119" s="84"/>
    </row>
    <row r="120" spans="1:15" ht="23.1" customHeight="1">
      <c r="A120" s="326"/>
      <c r="B120" s="306"/>
      <c r="C120" s="306"/>
      <c r="D120" s="310"/>
      <c r="E120" s="310"/>
      <c r="F120" s="310"/>
      <c r="G120" s="314">
        <v>50000</v>
      </c>
      <c r="H120" s="315"/>
      <c r="I120" s="315"/>
      <c r="J120" s="315"/>
      <c r="K120" s="315"/>
      <c r="L120" s="315"/>
      <c r="M120" s="315"/>
      <c r="N120" s="62" t="s">
        <v>17</v>
      </c>
      <c r="O120" s="63">
        <f>G120*12</f>
        <v>600000</v>
      </c>
    </row>
    <row r="121" spans="1:15" ht="23.1" customHeight="1">
      <c r="A121" s="326"/>
      <c r="B121" s="306"/>
      <c r="C121" s="306"/>
      <c r="D121" s="310"/>
      <c r="E121" s="310"/>
      <c r="F121" s="310"/>
      <c r="G121" s="323" t="s">
        <v>137</v>
      </c>
      <c r="H121" s="324"/>
      <c r="I121" s="324"/>
      <c r="J121" s="324"/>
      <c r="K121" s="324"/>
      <c r="L121" s="324"/>
      <c r="M121" s="324"/>
      <c r="N121" s="324"/>
      <c r="O121" s="64"/>
    </row>
    <row r="122" spans="1:15" ht="23.1" customHeight="1">
      <c r="A122" s="326"/>
      <c r="B122" s="306"/>
      <c r="C122" s="306"/>
      <c r="D122" s="310"/>
      <c r="E122" s="310"/>
      <c r="F122" s="310"/>
      <c r="G122" s="314">
        <v>600000</v>
      </c>
      <c r="H122" s="315"/>
      <c r="I122" s="315"/>
      <c r="J122" s="315"/>
      <c r="K122" s="315"/>
      <c r="L122" s="315"/>
      <c r="M122" s="315"/>
      <c r="N122" s="62" t="s">
        <v>17</v>
      </c>
      <c r="O122" s="63">
        <f>G122*12</f>
        <v>7200000</v>
      </c>
    </row>
    <row r="123" spans="1:15" ht="23.1" customHeight="1">
      <c r="A123" s="326"/>
      <c r="B123" s="306"/>
      <c r="C123" s="306"/>
      <c r="D123" s="310"/>
      <c r="E123" s="310"/>
      <c r="F123" s="310"/>
      <c r="G123" s="323" t="s">
        <v>138</v>
      </c>
      <c r="H123" s="324"/>
      <c r="I123" s="324"/>
      <c r="J123" s="324"/>
      <c r="K123" s="324"/>
      <c r="L123" s="324"/>
      <c r="M123" s="324"/>
      <c r="N123" s="324"/>
      <c r="O123" s="64"/>
    </row>
    <row r="124" spans="1:15" ht="23.1" customHeight="1">
      <c r="A124" s="326"/>
      <c r="B124" s="306"/>
      <c r="C124" s="306"/>
      <c r="D124" s="310"/>
      <c r="E124" s="310"/>
      <c r="F124" s="310"/>
      <c r="G124" s="314">
        <v>3000000</v>
      </c>
      <c r="H124" s="315"/>
      <c r="I124" s="315"/>
      <c r="J124" s="315"/>
      <c r="K124" s="315"/>
      <c r="L124" s="315"/>
      <c r="M124" s="315"/>
      <c r="N124" s="62" t="s">
        <v>17</v>
      </c>
      <c r="O124" s="63">
        <f>G124*12</f>
        <v>36000000</v>
      </c>
    </row>
    <row r="125" spans="1:15" ht="23.1" customHeight="1">
      <c r="A125" s="326"/>
      <c r="B125" s="306"/>
      <c r="C125" s="306"/>
      <c r="D125" s="310"/>
      <c r="E125" s="310"/>
      <c r="F125" s="310"/>
      <c r="G125" s="323" t="s">
        <v>139</v>
      </c>
      <c r="H125" s="324"/>
      <c r="I125" s="324"/>
      <c r="J125" s="324"/>
      <c r="K125" s="324"/>
      <c r="L125" s="324"/>
      <c r="M125" s="324"/>
      <c r="N125" s="324"/>
      <c r="O125" s="64"/>
    </row>
    <row r="126" spans="1:15" ht="23.1" customHeight="1">
      <c r="A126" s="326"/>
      <c r="B126" s="306"/>
      <c r="C126" s="306"/>
      <c r="D126" s="310"/>
      <c r="E126" s="310"/>
      <c r="F126" s="310"/>
      <c r="G126" s="314">
        <v>150000</v>
      </c>
      <c r="H126" s="315"/>
      <c r="I126" s="315"/>
      <c r="J126" s="315"/>
      <c r="K126" s="315"/>
      <c r="L126" s="315"/>
      <c r="M126" s="315"/>
      <c r="N126" s="62" t="s">
        <v>17</v>
      </c>
      <c r="O126" s="63">
        <f>G126*12</f>
        <v>1800000</v>
      </c>
    </row>
    <row r="127" spans="1:15" ht="23.1" customHeight="1">
      <c r="A127" s="326"/>
      <c r="B127" s="306"/>
      <c r="C127" s="306"/>
      <c r="D127" s="310"/>
      <c r="E127" s="310"/>
      <c r="F127" s="310"/>
      <c r="G127" s="323" t="s">
        <v>140</v>
      </c>
      <c r="H127" s="324"/>
      <c r="I127" s="324"/>
      <c r="J127" s="324"/>
      <c r="K127" s="324"/>
      <c r="L127" s="324"/>
      <c r="M127" s="324"/>
      <c r="N127" s="324"/>
      <c r="O127" s="85"/>
    </row>
    <row r="128" spans="1:15" ht="23.1" customHeight="1">
      <c r="A128" s="326"/>
      <c r="B128" s="306"/>
      <c r="C128" s="306"/>
      <c r="D128" s="310"/>
      <c r="E128" s="310"/>
      <c r="F128" s="310"/>
      <c r="G128" s="314">
        <v>500000</v>
      </c>
      <c r="H128" s="315"/>
      <c r="I128" s="315"/>
      <c r="J128" s="315"/>
      <c r="K128" s="315"/>
      <c r="L128" s="315"/>
      <c r="M128" s="315"/>
      <c r="N128" s="62" t="s">
        <v>221</v>
      </c>
      <c r="O128" s="63">
        <f>G128*1</f>
        <v>500000</v>
      </c>
    </row>
    <row r="129" spans="1:15" ht="23.1" customHeight="1">
      <c r="A129" s="326"/>
      <c r="B129" s="306"/>
      <c r="C129" s="306"/>
      <c r="D129" s="310"/>
      <c r="E129" s="310"/>
      <c r="F129" s="310"/>
      <c r="G129" s="323" t="s">
        <v>142</v>
      </c>
      <c r="H129" s="324"/>
      <c r="I129" s="324"/>
      <c r="J129" s="324"/>
      <c r="K129" s="324"/>
      <c r="L129" s="324"/>
      <c r="M129" s="324"/>
      <c r="N129" s="324"/>
      <c r="O129" s="64"/>
    </row>
    <row r="130" spans="1:15" ht="23.1" customHeight="1">
      <c r="A130" s="326"/>
      <c r="B130" s="306"/>
      <c r="C130" s="306"/>
      <c r="D130" s="310"/>
      <c r="E130" s="310"/>
      <c r="F130" s="310"/>
      <c r="G130" s="314">
        <v>200000</v>
      </c>
      <c r="H130" s="315"/>
      <c r="I130" s="315"/>
      <c r="J130" s="315"/>
      <c r="K130" s="315"/>
      <c r="L130" s="315"/>
      <c r="M130" s="315"/>
      <c r="N130" s="62" t="s">
        <v>17</v>
      </c>
      <c r="O130" s="63">
        <f>G130*12</f>
        <v>2400000</v>
      </c>
    </row>
    <row r="131" spans="1:15" ht="23.1" customHeight="1">
      <c r="A131" s="326"/>
      <c r="B131" s="306"/>
      <c r="C131" s="306"/>
      <c r="D131" s="310"/>
      <c r="E131" s="310"/>
      <c r="F131" s="310"/>
      <c r="G131" s="323" t="s">
        <v>143</v>
      </c>
      <c r="H131" s="324"/>
      <c r="I131" s="324"/>
      <c r="J131" s="324"/>
      <c r="K131" s="324"/>
      <c r="L131" s="324"/>
      <c r="M131" s="324"/>
      <c r="N131" s="324"/>
      <c r="O131" s="64"/>
    </row>
    <row r="132" spans="1:15" ht="23.1" customHeight="1">
      <c r="A132" s="326"/>
      <c r="B132" s="306"/>
      <c r="C132" s="306"/>
      <c r="D132" s="310"/>
      <c r="E132" s="310"/>
      <c r="F132" s="310"/>
      <c r="G132" s="314">
        <v>2000000</v>
      </c>
      <c r="H132" s="315"/>
      <c r="I132" s="315"/>
      <c r="J132" s="315"/>
      <c r="K132" s="315"/>
      <c r="L132" s="315"/>
      <c r="M132" s="315"/>
      <c r="N132" s="62" t="s">
        <v>144</v>
      </c>
      <c r="O132" s="63">
        <f>G132*1</f>
        <v>2000000</v>
      </c>
    </row>
    <row r="133" spans="1:15" ht="21.95" customHeight="1">
      <c r="A133" s="326"/>
      <c r="B133" s="306"/>
      <c r="C133" s="306"/>
      <c r="D133" s="310"/>
      <c r="E133" s="310"/>
      <c r="F133" s="310"/>
      <c r="G133" s="323" t="s">
        <v>145</v>
      </c>
      <c r="H133" s="324"/>
      <c r="I133" s="324"/>
      <c r="J133" s="324"/>
      <c r="K133" s="324"/>
      <c r="L133" s="324"/>
      <c r="M133" s="324"/>
      <c r="N133" s="324"/>
      <c r="O133" s="64"/>
    </row>
    <row r="134" spans="1:15" ht="21.95" customHeight="1">
      <c r="A134" s="326"/>
      <c r="B134" s="306"/>
      <c r="C134" s="306"/>
      <c r="D134" s="310"/>
      <c r="E134" s="310"/>
      <c r="F134" s="310"/>
      <c r="G134" s="314">
        <v>1000000</v>
      </c>
      <c r="H134" s="315"/>
      <c r="I134" s="315"/>
      <c r="J134" s="315"/>
      <c r="K134" s="315"/>
      <c r="L134" s="315"/>
      <c r="M134" s="315"/>
      <c r="N134" s="62" t="s">
        <v>141</v>
      </c>
      <c r="O134" s="63">
        <f>G134*2</f>
        <v>2000000</v>
      </c>
    </row>
    <row r="135" spans="1:15" ht="21.95" customHeight="1">
      <c r="A135" s="326"/>
      <c r="B135" s="306"/>
      <c r="C135" s="306"/>
      <c r="D135" s="310"/>
      <c r="E135" s="310"/>
      <c r="F135" s="310"/>
      <c r="G135" s="323" t="s">
        <v>146</v>
      </c>
      <c r="H135" s="324"/>
      <c r="I135" s="324"/>
      <c r="J135" s="324"/>
      <c r="K135" s="324"/>
      <c r="L135" s="324"/>
      <c r="M135" s="324"/>
      <c r="N135" s="324"/>
      <c r="O135" s="64"/>
    </row>
    <row r="136" spans="1:15" ht="23.1" customHeight="1">
      <c r="A136" s="326"/>
      <c r="B136" s="306"/>
      <c r="C136" s="306"/>
      <c r="D136" s="310"/>
      <c r="E136" s="310"/>
      <c r="F136" s="310"/>
      <c r="G136" s="314">
        <v>8000000</v>
      </c>
      <c r="H136" s="315"/>
      <c r="I136" s="315"/>
      <c r="J136" s="315"/>
      <c r="K136" s="315"/>
      <c r="L136" s="315"/>
      <c r="M136" s="315"/>
      <c r="N136" s="62" t="s">
        <v>144</v>
      </c>
      <c r="O136" s="63">
        <f>G136*1</f>
        <v>8000000</v>
      </c>
    </row>
    <row r="137" spans="1:15" ht="23.1" customHeight="1">
      <c r="A137" s="326"/>
      <c r="B137" s="306"/>
      <c r="C137" s="307"/>
      <c r="D137" s="311"/>
      <c r="E137" s="311"/>
      <c r="F137" s="311"/>
      <c r="G137" s="361"/>
      <c r="H137" s="316"/>
      <c r="I137" s="316"/>
      <c r="J137" s="316"/>
      <c r="K137" s="316"/>
      <c r="L137" s="316"/>
      <c r="M137" s="316"/>
      <c r="N137" s="62"/>
      <c r="O137" s="72">
        <f>SUM(O120:O136)</f>
        <v>60500000</v>
      </c>
    </row>
    <row r="138" spans="1:15" ht="21" customHeight="1">
      <c r="A138" s="326"/>
      <c r="B138" s="306"/>
      <c r="C138" s="305" t="s">
        <v>222</v>
      </c>
      <c r="D138" s="338">
        <v>8400000</v>
      </c>
      <c r="E138" s="338">
        <f>O144</f>
        <v>9600000</v>
      </c>
      <c r="F138" s="377">
        <f>E138-D138</f>
        <v>1200000</v>
      </c>
      <c r="G138" s="341" t="s">
        <v>147</v>
      </c>
      <c r="H138" s="342"/>
      <c r="I138" s="342"/>
      <c r="J138" s="342"/>
      <c r="K138" s="342"/>
      <c r="L138" s="342"/>
      <c r="M138" s="342"/>
      <c r="N138" s="342"/>
      <c r="O138" s="69"/>
    </row>
    <row r="139" spans="1:15" ht="21" customHeight="1">
      <c r="A139" s="326"/>
      <c r="B139" s="306"/>
      <c r="C139" s="306"/>
      <c r="D139" s="339"/>
      <c r="E139" s="339"/>
      <c r="F139" s="364"/>
      <c r="G139" s="314">
        <v>600000</v>
      </c>
      <c r="H139" s="315"/>
      <c r="I139" s="315"/>
      <c r="J139" s="315"/>
      <c r="K139" s="315"/>
      <c r="L139" s="315"/>
      <c r="M139" s="315"/>
      <c r="N139" s="62" t="s">
        <v>17</v>
      </c>
      <c r="O139" s="63">
        <f>G139*12</f>
        <v>7200000</v>
      </c>
    </row>
    <row r="140" spans="1:15" ht="21" customHeight="1">
      <c r="A140" s="326"/>
      <c r="B140" s="306"/>
      <c r="C140" s="306"/>
      <c r="D140" s="339"/>
      <c r="E140" s="339"/>
      <c r="F140" s="364"/>
      <c r="G140" s="323" t="s">
        <v>148</v>
      </c>
      <c r="H140" s="324"/>
      <c r="I140" s="324"/>
      <c r="J140" s="324"/>
      <c r="K140" s="324"/>
      <c r="L140" s="324"/>
      <c r="M140" s="324"/>
      <c r="N140" s="324"/>
      <c r="O140" s="67"/>
    </row>
    <row r="141" spans="1:15" ht="21" customHeight="1">
      <c r="A141" s="326"/>
      <c r="B141" s="306"/>
      <c r="C141" s="306"/>
      <c r="D141" s="339"/>
      <c r="E141" s="339"/>
      <c r="F141" s="364"/>
      <c r="G141" s="314">
        <v>500000</v>
      </c>
      <c r="H141" s="315"/>
      <c r="I141" s="315"/>
      <c r="J141" s="315"/>
      <c r="K141" s="315"/>
      <c r="L141" s="315"/>
      <c r="M141" s="315"/>
      <c r="N141" s="62" t="s">
        <v>149</v>
      </c>
      <c r="O141" s="63">
        <f>G141*4</f>
        <v>2000000</v>
      </c>
    </row>
    <row r="142" spans="1:15" ht="21" customHeight="1">
      <c r="A142" s="326"/>
      <c r="B142" s="306"/>
      <c r="C142" s="306"/>
      <c r="D142" s="339"/>
      <c r="E142" s="339"/>
      <c r="F142" s="364"/>
      <c r="G142" s="323" t="s">
        <v>150</v>
      </c>
      <c r="H142" s="324"/>
      <c r="I142" s="324"/>
      <c r="J142" s="324"/>
      <c r="K142" s="324"/>
      <c r="L142" s="324"/>
      <c r="M142" s="324"/>
      <c r="N142" s="324"/>
      <c r="O142" s="67"/>
    </row>
    <row r="143" spans="1:15" ht="21" customHeight="1">
      <c r="A143" s="326"/>
      <c r="B143" s="306"/>
      <c r="C143" s="306"/>
      <c r="D143" s="339"/>
      <c r="E143" s="339"/>
      <c r="F143" s="364"/>
      <c r="G143" s="314">
        <v>100000</v>
      </c>
      <c r="H143" s="315"/>
      <c r="I143" s="315"/>
      <c r="J143" s="315"/>
      <c r="K143" s="315"/>
      <c r="L143" s="315"/>
      <c r="M143" s="315"/>
      <c r="N143" s="62" t="s">
        <v>149</v>
      </c>
      <c r="O143" s="63">
        <f>G143*4</f>
        <v>400000</v>
      </c>
    </row>
    <row r="144" spans="1:15" ht="21" customHeight="1">
      <c r="A144" s="326"/>
      <c r="B144" s="306"/>
      <c r="C144" s="307"/>
      <c r="D144" s="340"/>
      <c r="E144" s="340"/>
      <c r="F144" s="365"/>
      <c r="G144" s="362"/>
      <c r="H144" s="363"/>
      <c r="I144" s="363"/>
      <c r="J144" s="363"/>
      <c r="K144" s="363"/>
      <c r="L144" s="363"/>
      <c r="M144" s="363"/>
      <c r="N144" s="73"/>
      <c r="O144" s="72">
        <f>SUM(O139:O143)</f>
        <v>9600000</v>
      </c>
    </row>
    <row r="145" spans="1:15" ht="21" customHeight="1">
      <c r="A145" s="326"/>
      <c r="B145" s="306"/>
      <c r="C145" s="305" t="s">
        <v>223</v>
      </c>
      <c r="D145" s="367">
        <v>21600000</v>
      </c>
      <c r="E145" s="367">
        <f>O157</f>
        <v>44680000</v>
      </c>
      <c r="F145" s="309">
        <f>E145-D145</f>
        <v>23080000</v>
      </c>
      <c r="G145" s="341" t="s">
        <v>151</v>
      </c>
      <c r="H145" s="342"/>
      <c r="I145" s="342"/>
      <c r="J145" s="342"/>
      <c r="K145" s="342"/>
      <c r="L145" s="342"/>
      <c r="M145" s="342"/>
      <c r="N145" s="342"/>
      <c r="O145" s="74"/>
    </row>
    <row r="146" spans="1:15" ht="21" customHeight="1">
      <c r="A146" s="326"/>
      <c r="B146" s="306"/>
      <c r="C146" s="306"/>
      <c r="D146" s="368"/>
      <c r="E146" s="368"/>
      <c r="F146" s="310"/>
      <c r="G146" s="361" t="s">
        <v>224</v>
      </c>
      <c r="H146" s="316"/>
      <c r="I146" s="315">
        <v>50000</v>
      </c>
      <c r="J146" s="315"/>
      <c r="K146" s="315"/>
      <c r="L146" s="315"/>
      <c r="M146" s="315"/>
      <c r="N146" s="62" t="s">
        <v>17</v>
      </c>
      <c r="O146" s="63">
        <f>44*50000*12</f>
        <v>26400000</v>
      </c>
    </row>
    <row r="147" spans="1:15" ht="21" customHeight="1">
      <c r="A147" s="326"/>
      <c r="B147" s="306"/>
      <c r="C147" s="306"/>
      <c r="D147" s="368"/>
      <c r="E147" s="368"/>
      <c r="F147" s="310"/>
      <c r="G147" s="319" t="s">
        <v>225</v>
      </c>
      <c r="H147" s="320"/>
      <c r="I147" s="320"/>
      <c r="J147" s="320"/>
      <c r="K147" s="320"/>
      <c r="L147" s="320"/>
      <c r="M147" s="320"/>
      <c r="N147" s="62"/>
      <c r="O147" s="63"/>
    </row>
    <row r="148" spans="1:15" ht="21" customHeight="1">
      <c r="A148" s="326"/>
      <c r="B148" s="306"/>
      <c r="C148" s="306"/>
      <c r="D148" s="368"/>
      <c r="E148" s="368"/>
      <c r="F148" s="310"/>
      <c r="G148" s="321">
        <v>50000</v>
      </c>
      <c r="H148" s="322"/>
      <c r="I148" s="322"/>
      <c r="J148" s="322"/>
      <c r="K148" s="322"/>
      <c r="L148" s="322"/>
      <c r="M148" s="322"/>
      <c r="N148" s="62" t="s">
        <v>226</v>
      </c>
      <c r="O148" s="63">
        <f>G148*44</f>
        <v>2200000</v>
      </c>
    </row>
    <row r="149" spans="1:15" ht="21" customHeight="1">
      <c r="A149" s="326"/>
      <c r="B149" s="306"/>
      <c r="C149" s="306"/>
      <c r="D149" s="368"/>
      <c r="E149" s="368"/>
      <c r="F149" s="310"/>
      <c r="G149" s="319" t="s">
        <v>227</v>
      </c>
      <c r="H149" s="320"/>
      <c r="I149" s="320"/>
      <c r="J149" s="320"/>
      <c r="K149" s="320"/>
      <c r="L149" s="320"/>
      <c r="M149" s="320"/>
      <c r="N149" s="62"/>
      <c r="O149" s="63"/>
    </row>
    <row r="150" spans="1:15" ht="21" customHeight="1">
      <c r="A150" s="326"/>
      <c r="B150" s="306"/>
      <c r="C150" s="306"/>
      <c r="D150" s="368"/>
      <c r="E150" s="368"/>
      <c r="F150" s="310"/>
      <c r="G150" s="314">
        <v>60000</v>
      </c>
      <c r="H150" s="315"/>
      <c r="I150" s="315"/>
      <c r="J150" s="315"/>
      <c r="K150" s="315"/>
      <c r="L150" s="316" t="s">
        <v>241</v>
      </c>
      <c r="M150" s="316"/>
      <c r="N150" s="62" t="s">
        <v>228</v>
      </c>
      <c r="O150" s="63">
        <f>G150*2*44</f>
        <v>5280000</v>
      </c>
    </row>
    <row r="151" spans="1:15" ht="21" customHeight="1">
      <c r="A151" s="326"/>
      <c r="B151" s="306"/>
      <c r="C151" s="306"/>
      <c r="D151" s="368"/>
      <c r="E151" s="368"/>
      <c r="F151" s="310"/>
      <c r="G151" s="323" t="s">
        <v>115</v>
      </c>
      <c r="H151" s="324"/>
      <c r="I151" s="324"/>
      <c r="J151" s="324"/>
      <c r="K151" s="324"/>
      <c r="L151" s="324"/>
      <c r="M151" s="324"/>
      <c r="N151" s="324"/>
      <c r="O151" s="85"/>
    </row>
    <row r="152" spans="1:15" ht="21" customHeight="1">
      <c r="A152" s="326"/>
      <c r="B152" s="306"/>
      <c r="C152" s="306"/>
      <c r="D152" s="368"/>
      <c r="E152" s="368"/>
      <c r="F152" s="310"/>
      <c r="G152" s="314">
        <v>100000</v>
      </c>
      <c r="H152" s="315"/>
      <c r="I152" s="315"/>
      <c r="J152" s="315"/>
      <c r="K152" s="315"/>
      <c r="L152" s="315"/>
      <c r="M152" s="315"/>
      <c r="N152" s="62" t="s">
        <v>228</v>
      </c>
      <c r="O152" s="63">
        <f>G152*44</f>
        <v>4400000</v>
      </c>
    </row>
    <row r="153" spans="1:15" ht="21" customHeight="1">
      <c r="A153" s="326"/>
      <c r="B153" s="306"/>
      <c r="C153" s="306"/>
      <c r="D153" s="368"/>
      <c r="E153" s="368"/>
      <c r="F153" s="310"/>
      <c r="G153" s="323" t="s">
        <v>116</v>
      </c>
      <c r="H153" s="324"/>
      <c r="I153" s="324"/>
      <c r="J153" s="324"/>
      <c r="K153" s="324"/>
      <c r="L153" s="324"/>
      <c r="M153" s="324"/>
      <c r="N153" s="324"/>
      <c r="O153" s="85"/>
    </row>
    <row r="154" spans="1:15" ht="21" customHeight="1">
      <c r="A154" s="326"/>
      <c r="B154" s="306"/>
      <c r="C154" s="306"/>
      <c r="D154" s="368"/>
      <c r="E154" s="368"/>
      <c r="F154" s="310"/>
      <c r="G154" s="314">
        <v>2000000</v>
      </c>
      <c r="H154" s="315"/>
      <c r="I154" s="315"/>
      <c r="J154" s="315"/>
      <c r="K154" s="315"/>
      <c r="L154" s="315"/>
      <c r="M154" s="315"/>
      <c r="N154" s="62" t="s">
        <v>117</v>
      </c>
      <c r="O154" s="63">
        <f>G154*2</f>
        <v>4000000</v>
      </c>
    </row>
    <row r="155" spans="1:15" ht="21" customHeight="1">
      <c r="A155" s="326"/>
      <c r="B155" s="306"/>
      <c r="C155" s="306"/>
      <c r="D155" s="368"/>
      <c r="E155" s="368"/>
      <c r="F155" s="310"/>
      <c r="G155" s="323" t="s">
        <v>152</v>
      </c>
      <c r="H155" s="324"/>
      <c r="I155" s="324"/>
      <c r="J155" s="324"/>
      <c r="K155" s="324"/>
      <c r="L155" s="324"/>
      <c r="M155" s="324"/>
      <c r="N155" s="324"/>
      <c r="O155" s="66"/>
    </row>
    <row r="156" spans="1:15" ht="21" customHeight="1">
      <c r="A156" s="326"/>
      <c r="B156" s="306"/>
      <c r="C156" s="306"/>
      <c r="D156" s="368"/>
      <c r="E156" s="368"/>
      <c r="F156" s="310"/>
      <c r="G156" s="314">
        <v>200000</v>
      </c>
      <c r="H156" s="315"/>
      <c r="I156" s="315"/>
      <c r="J156" s="315"/>
      <c r="K156" s="315"/>
      <c r="L156" s="315"/>
      <c r="M156" s="315"/>
      <c r="N156" s="62" t="s">
        <v>17</v>
      </c>
      <c r="O156" s="63">
        <f>G156*12</f>
        <v>2400000</v>
      </c>
    </row>
    <row r="157" spans="1:15" ht="21" customHeight="1">
      <c r="A157" s="327"/>
      <c r="B157" s="307"/>
      <c r="C157" s="307"/>
      <c r="D157" s="368"/>
      <c r="E157" s="368"/>
      <c r="F157" s="310"/>
      <c r="G157" s="323"/>
      <c r="H157" s="324"/>
      <c r="I157" s="324"/>
      <c r="J157" s="324"/>
      <c r="K157" s="324"/>
      <c r="L157" s="324"/>
      <c r="M157" s="324"/>
      <c r="N157" s="324"/>
      <c r="O157" s="72">
        <f>SUM(O146:O156)</f>
        <v>44680000</v>
      </c>
    </row>
    <row r="158" spans="1:15" s="77" customFormat="1" ht="21" customHeight="1" thickBot="1">
      <c r="A158" s="372"/>
      <c r="B158" s="373"/>
      <c r="C158" s="75" t="s">
        <v>13</v>
      </c>
      <c r="D158" s="76">
        <f>SUM(D7:D157)</f>
        <v>1336098150</v>
      </c>
      <c r="E158" s="76">
        <f t="shared" ref="E158:F158" si="1">SUM(E7:E157)</f>
        <v>1624503148.54</v>
      </c>
      <c r="F158" s="76">
        <f t="shared" si="1"/>
        <v>288404998.53999996</v>
      </c>
      <c r="G158" s="374"/>
      <c r="H158" s="375"/>
      <c r="I158" s="375"/>
      <c r="J158" s="375"/>
      <c r="K158" s="375"/>
      <c r="L158" s="375"/>
      <c r="M158" s="375"/>
      <c r="N158" s="375"/>
      <c r="O158" s="376"/>
    </row>
    <row r="159" spans="1:15" ht="21" customHeight="1" thickTop="1">
      <c r="A159" s="325" t="s">
        <v>231</v>
      </c>
      <c r="B159" s="328" t="s">
        <v>232</v>
      </c>
      <c r="C159" s="329" t="s">
        <v>233</v>
      </c>
      <c r="D159" s="368">
        <v>21000000</v>
      </c>
      <c r="E159" s="368">
        <f>O161</f>
        <v>20000000</v>
      </c>
      <c r="F159" s="310">
        <f>E159-D159</f>
        <v>-1000000</v>
      </c>
      <c r="G159" s="323" t="s">
        <v>153</v>
      </c>
      <c r="H159" s="324"/>
      <c r="I159" s="324"/>
      <c r="J159" s="324"/>
      <c r="K159" s="324"/>
      <c r="L159" s="324"/>
      <c r="M159" s="324"/>
      <c r="N159" s="324"/>
      <c r="O159" s="67"/>
    </row>
    <row r="160" spans="1:15" ht="21" customHeight="1">
      <c r="A160" s="326"/>
      <c r="B160" s="306"/>
      <c r="C160" s="330"/>
      <c r="D160" s="368"/>
      <c r="E160" s="368"/>
      <c r="F160" s="364"/>
      <c r="G160" s="314">
        <v>5000000</v>
      </c>
      <c r="H160" s="315"/>
      <c r="I160" s="315"/>
      <c r="J160" s="315"/>
      <c r="K160" s="315"/>
      <c r="L160" s="315"/>
      <c r="M160" s="315"/>
      <c r="N160" s="62" t="s">
        <v>229</v>
      </c>
      <c r="O160" s="63">
        <f>G160*4</f>
        <v>20000000</v>
      </c>
    </row>
    <row r="161" spans="1:15" ht="21" customHeight="1">
      <c r="A161" s="326"/>
      <c r="B161" s="306"/>
      <c r="C161" s="331"/>
      <c r="D161" s="369"/>
      <c r="E161" s="369"/>
      <c r="F161" s="365"/>
      <c r="G161" s="370"/>
      <c r="H161" s="371"/>
      <c r="I161" s="371"/>
      <c r="J161" s="371"/>
      <c r="K161" s="371"/>
      <c r="L161" s="371"/>
      <c r="M161" s="371"/>
      <c r="N161" s="71"/>
      <c r="O161" s="65">
        <f>O160</f>
        <v>20000000</v>
      </c>
    </row>
    <row r="162" spans="1:15" ht="21" customHeight="1">
      <c r="A162" s="326"/>
      <c r="B162" s="306"/>
      <c r="C162" s="305" t="s">
        <v>234</v>
      </c>
      <c r="D162" s="367">
        <v>20000000</v>
      </c>
      <c r="E162" s="367">
        <f>O164</f>
        <v>10000000</v>
      </c>
      <c r="F162" s="309">
        <f>E162-D162</f>
        <v>-10000000</v>
      </c>
      <c r="G162" s="341" t="s">
        <v>154</v>
      </c>
      <c r="H162" s="342"/>
      <c r="I162" s="342"/>
      <c r="J162" s="342"/>
      <c r="K162" s="342"/>
      <c r="L162" s="342"/>
      <c r="M162" s="342"/>
      <c r="N162" s="342"/>
      <c r="O162" s="74"/>
    </row>
    <row r="163" spans="1:15" ht="21" customHeight="1">
      <c r="A163" s="326"/>
      <c r="B163" s="306"/>
      <c r="C163" s="306"/>
      <c r="D163" s="368"/>
      <c r="E163" s="368"/>
      <c r="F163" s="310"/>
      <c r="G163" s="314">
        <v>2500000</v>
      </c>
      <c r="H163" s="315"/>
      <c r="I163" s="315"/>
      <c r="J163" s="315"/>
      <c r="K163" s="315"/>
      <c r="L163" s="315"/>
      <c r="M163" s="315"/>
      <c r="N163" s="62" t="s">
        <v>149</v>
      </c>
      <c r="O163" s="63">
        <f>G163*4</f>
        <v>10000000</v>
      </c>
    </row>
    <row r="164" spans="1:15" ht="21" customHeight="1">
      <c r="A164" s="326"/>
      <c r="B164" s="306"/>
      <c r="C164" s="307"/>
      <c r="D164" s="369"/>
      <c r="E164" s="369"/>
      <c r="F164" s="311"/>
      <c r="G164" s="362"/>
      <c r="H164" s="363"/>
      <c r="I164" s="363"/>
      <c r="J164" s="363"/>
      <c r="K164" s="363"/>
      <c r="L164" s="363"/>
      <c r="M164" s="363"/>
      <c r="N164" s="78"/>
      <c r="O164" s="65">
        <f>O163</f>
        <v>10000000</v>
      </c>
    </row>
    <row r="165" spans="1:15" ht="21" customHeight="1">
      <c r="A165" s="326"/>
      <c r="B165" s="306"/>
      <c r="C165" s="305" t="s">
        <v>235</v>
      </c>
      <c r="D165" s="367">
        <v>1000000</v>
      </c>
      <c r="E165" s="367">
        <f>O167</f>
        <v>4000000</v>
      </c>
      <c r="F165" s="309">
        <f>E165-D165</f>
        <v>3000000</v>
      </c>
      <c r="G165" s="341" t="s">
        <v>155</v>
      </c>
      <c r="H165" s="342"/>
      <c r="I165" s="342"/>
      <c r="J165" s="342"/>
      <c r="K165" s="342"/>
      <c r="L165" s="342"/>
      <c r="M165" s="342"/>
      <c r="N165" s="342"/>
      <c r="O165" s="74"/>
    </row>
    <row r="166" spans="1:15" ht="21" customHeight="1">
      <c r="A166" s="326"/>
      <c r="B166" s="306"/>
      <c r="C166" s="306"/>
      <c r="D166" s="368"/>
      <c r="E166" s="368"/>
      <c r="F166" s="310"/>
      <c r="G166" s="314">
        <v>1000000</v>
      </c>
      <c r="H166" s="315"/>
      <c r="I166" s="315"/>
      <c r="J166" s="315"/>
      <c r="K166" s="315"/>
      <c r="L166" s="315"/>
      <c r="M166" s="315"/>
      <c r="N166" s="62" t="s">
        <v>230</v>
      </c>
      <c r="O166" s="63">
        <f>G166*4</f>
        <v>4000000</v>
      </c>
    </row>
    <row r="167" spans="1:15" ht="21" customHeight="1">
      <c r="A167" s="327"/>
      <c r="B167" s="307"/>
      <c r="C167" s="307"/>
      <c r="D167" s="369"/>
      <c r="E167" s="369"/>
      <c r="F167" s="311"/>
      <c r="G167" s="362"/>
      <c r="H167" s="363"/>
      <c r="I167" s="363"/>
      <c r="J167" s="363"/>
      <c r="K167" s="363"/>
      <c r="L167" s="363"/>
      <c r="M167" s="363"/>
      <c r="N167" s="73"/>
      <c r="O167" s="72">
        <f>O166</f>
        <v>4000000</v>
      </c>
    </row>
    <row r="168" spans="1:15" s="77" customFormat="1" ht="21" customHeight="1" thickBot="1">
      <c r="A168" s="372"/>
      <c r="B168" s="373"/>
      <c r="C168" s="75" t="s">
        <v>13</v>
      </c>
      <c r="D168" s="76">
        <f>SUM(D159:D167)</f>
        <v>42000000</v>
      </c>
      <c r="E168" s="76">
        <f>SUM(E159:E167)</f>
        <v>34000000</v>
      </c>
      <c r="F168" s="76">
        <f>SUM(F159:F167)</f>
        <v>-8000000</v>
      </c>
      <c r="G168" s="374"/>
      <c r="H168" s="375"/>
      <c r="I168" s="375"/>
      <c r="J168" s="375"/>
      <c r="K168" s="375"/>
      <c r="L168" s="375"/>
      <c r="M168" s="375"/>
      <c r="N168" s="375"/>
      <c r="O168" s="376"/>
    </row>
    <row r="169" spans="1:15" ht="23.1" customHeight="1" thickTop="1">
      <c r="A169" s="325" t="s">
        <v>236</v>
      </c>
      <c r="B169" s="328" t="s">
        <v>237</v>
      </c>
      <c r="C169" s="328" t="s">
        <v>238</v>
      </c>
      <c r="D169" s="378">
        <v>157661750</v>
      </c>
      <c r="E169" s="378">
        <f>O177</f>
        <v>212225000</v>
      </c>
      <c r="F169" s="379">
        <f>E169-D169</f>
        <v>54563250</v>
      </c>
      <c r="G169" s="380" t="s">
        <v>156</v>
      </c>
      <c r="H169" s="381"/>
      <c r="I169" s="381"/>
      <c r="J169" s="381"/>
      <c r="K169" s="381"/>
      <c r="L169" s="381"/>
      <c r="M169" s="381"/>
      <c r="N169" s="381"/>
      <c r="O169" s="79"/>
    </row>
    <row r="170" spans="1:15" ht="23.1" customHeight="1">
      <c r="A170" s="326"/>
      <c r="B170" s="306"/>
      <c r="C170" s="306"/>
      <c r="D170" s="368"/>
      <c r="E170" s="368"/>
      <c r="F170" s="310"/>
      <c r="G170" s="314">
        <v>8500</v>
      </c>
      <c r="H170" s="315"/>
      <c r="I170" s="315"/>
      <c r="J170" s="315"/>
      <c r="K170" s="315"/>
      <c r="L170" s="315"/>
      <c r="M170" s="62">
        <v>365</v>
      </c>
      <c r="N170" s="62" t="s">
        <v>239</v>
      </c>
      <c r="O170" s="63">
        <f>G170*365*40</f>
        <v>124100000</v>
      </c>
    </row>
    <row r="171" spans="1:15" ht="23.1" customHeight="1">
      <c r="A171" s="326"/>
      <c r="B171" s="306"/>
      <c r="C171" s="306"/>
      <c r="D171" s="368"/>
      <c r="E171" s="368"/>
      <c r="F171" s="310"/>
      <c r="G171" s="323" t="s">
        <v>157</v>
      </c>
      <c r="H171" s="324"/>
      <c r="I171" s="324"/>
      <c r="J171" s="324"/>
      <c r="K171" s="324"/>
      <c r="L171" s="324"/>
      <c r="M171" s="324"/>
      <c r="N171" s="324"/>
      <c r="O171" s="67"/>
    </row>
    <row r="172" spans="1:15" ht="23.1" customHeight="1">
      <c r="A172" s="326"/>
      <c r="B172" s="306"/>
      <c r="C172" s="306"/>
      <c r="D172" s="368"/>
      <c r="E172" s="368"/>
      <c r="F172" s="310"/>
      <c r="G172" s="314">
        <v>7500</v>
      </c>
      <c r="H172" s="315"/>
      <c r="I172" s="315"/>
      <c r="J172" s="315"/>
      <c r="K172" s="315"/>
      <c r="L172" s="315"/>
      <c r="M172" s="62">
        <v>365</v>
      </c>
      <c r="N172" s="62" t="s">
        <v>35</v>
      </c>
      <c r="O172" s="63">
        <f>G172*365*30</f>
        <v>82125000</v>
      </c>
    </row>
    <row r="173" spans="1:15" ht="23.1" customHeight="1">
      <c r="A173" s="326"/>
      <c r="B173" s="306"/>
      <c r="C173" s="306"/>
      <c r="D173" s="368"/>
      <c r="E173" s="368"/>
      <c r="F173" s="310"/>
      <c r="G173" s="323" t="s">
        <v>158</v>
      </c>
      <c r="H173" s="324"/>
      <c r="I173" s="324"/>
      <c r="J173" s="324"/>
      <c r="K173" s="324"/>
      <c r="L173" s="324"/>
      <c r="M173" s="324"/>
      <c r="N173" s="324"/>
      <c r="O173" s="67"/>
    </row>
    <row r="174" spans="1:15" ht="23.1" customHeight="1">
      <c r="A174" s="326"/>
      <c r="B174" s="306"/>
      <c r="C174" s="306"/>
      <c r="D174" s="368"/>
      <c r="E174" s="368"/>
      <c r="F174" s="310"/>
      <c r="G174" s="321">
        <v>50000</v>
      </c>
      <c r="H174" s="332"/>
      <c r="I174" s="332"/>
      <c r="J174" s="332"/>
      <c r="K174" s="332"/>
      <c r="L174" s="332"/>
      <c r="M174" s="91" t="s">
        <v>241</v>
      </c>
      <c r="N174" s="62" t="s">
        <v>240</v>
      </c>
      <c r="O174" s="87">
        <f>G174*2*40</f>
        <v>4000000</v>
      </c>
    </row>
    <row r="175" spans="1:15" ht="23.1" customHeight="1">
      <c r="A175" s="326"/>
      <c r="B175" s="306"/>
      <c r="C175" s="306"/>
      <c r="D175" s="368"/>
      <c r="E175" s="368"/>
      <c r="F175" s="310"/>
      <c r="G175" s="319" t="s">
        <v>242</v>
      </c>
      <c r="H175" s="320"/>
      <c r="I175" s="320"/>
      <c r="J175" s="320"/>
      <c r="K175" s="320"/>
      <c r="L175" s="320"/>
      <c r="M175" s="320"/>
      <c r="N175" s="73"/>
      <c r="O175" s="87"/>
    </row>
    <row r="176" spans="1:15" ht="23.1" customHeight="1">
      <c r="A176" s="326"/>
      <c r="B176" s="306"/>
      <c r="C176" s="306"/>
      <c r="D176" s="368"/>
      <c r="E176" s="368"/>
      <c r="F176" s="310"/>
      <c r="G176" s="314">
        <v>2000000</v>
      </c>
      <c r="H176" s="316"/>
      <c r="I176" s="316"/>
      <c r="J176" s="316"/>
      <c r="K176" s="316"/>
      <c r="L176" s="316"/>
      <c r="M176" s="316"/>
      <c r="N176" s="62" t="s">
        <v>243</v>
      </c>
      <c r="O176" s="87">
        <f>G176*1</f>
        <v>2000000</v>
      </c>
    </row>
    <row r="177" spans="1:15" ht="23.1" customHeight="1">
      <c r="A177" s="326"/>
      <c r="B177" s="306"/>
      <c r="C177" s="307"/>
      <c r="D177" s="369"/>
      <c r="E177" s="369"/>
      <c r="F177" s="311"/>
      <c r="G177" s="370"/>
      <c r="H177" s="371"/>
      <c r="I177" s="371"/>
      <c r="J177" s="371"/>
      <c r="K177" s="371"/>
      <c r="L177" s="371"/>
      <c r="M177" s="371"/>
      <c r="N177" s="71"/>
      <c r="O177" s="65">
        <f>SUM(O170+O172+O174+O176)</f>
        <v>212225000</v>
      </c>
    </row>
    <row r="178" spans="1:15" ht="23.1" customHeight="1">
      <c r="A178" s="326"/>
      <c r="B178" s="306"/>
      <c r="C178" s="305" t="s">
        <v>244</v>
      </c>
      <c r="D178" s="367">
        <v>28000000</v>
      </c>
      <c r="E178" s="367">
        <f>O184</f>
        <v>39000000</v>
      </c>
      <c r="F178" s="309">
        <f>E178-D178</f>
        <v>11000000</v>
      </c>
      <c r="G178" s="341" t="s">
        <v>159</v>
      </c>
      <c r="H178" s="342"/>
      <c r="I178" s="342"/>
      <c r="J178" s="342"/>
      <c r="K178" s="342"/>
      <c r="L178" s="342"/>
      <c r="M178" s="342"/>
      <c r="N178" s="342"/>
      <c r="O178" s="69"/>
    </row>
    <row r="179" spans="1:15" ht="23.1" customHeight="1">
      <c r="A179" s="326"/>
      <c r="B179" s="306"/>
      <c r="C179" s="306"/>
      <c r="D179" s="368"/>
      <c r="E179" s="368"/>
      <c r="F179" s="310"/>
      <c r="G179" s="314">
        <v>250000</v>
      </c>
      <c r="H179" s="315"/>
      <c r="I179" s="315"/>
      <c r="J179" s="315"/>
      <c r="K179" s="315"/>
      <c r="L179" s="315"/>
      <c r="M179" s="315"/>
      <c r="N179" s="62" t="s">
        <v>149</v>
      </c>
      <c r="O179" s="63">
        <f>G179*4</f>
        <v>1000000</v>
      </c>
    </row>
    <row r="180" spans="1:15" ht="23.1" customHeight="1">
      <c r="A180" s="326"/>
      <c r="B180" s="306"/>
      <c r="C180" s="306"/>
      <c r="D180" s="368"/>
      <c r="E180" s="368"/>
      <c r="F180" s="310"/>
      <c r="G180" s="323" t="s">
        <v>160</v>
      </c>
      <c r="H180" s="324"/>
      <c r="I180" s="324"/>
      <c r="J180" s="324"/>
      <c r="K180" s="324"/>
      <c r="L180" s="324"/>
      <c r="M180" s="324"/>
      <c r="N180" s="324"/>
      <c r="O180" s="67"/>
    </row>
    <row r="181" spans="1:15" ht="23.1" customHeight="1">
      <c r="A181" s="326"/>
      <c r="B181" s="306"/>
      <c r="C181" s="306"/>
      <c r="D181" s="368"/>
      <c r="E181" s="368"/>
      <c r="F181" s="310"/>
      <c r="G181" s="314">
        <v>3000000</v>
      </c>
      <c r="H181" s="315"/>
      <c r="I181" s="315"/>
      <c r="J181" s="315"/>
      <c r="K181" s="315"/>
      <c r="L181" s="315"/>
      <c r="M181" s="315"/>
      <c r="N181" s="62" t="s">
        <v>245</v>
      </c>
      <c r="O181" s="63">
        <f>G181*12</f>
        <v>36000000</v>
      </c>
    </row>
    <row r="182" spans="1:15" ht="23.1" customHeight="1">
      <c r="A182" s="326"/>
      <c r="B182" s="306"/>
      <c r="C182" s="306"/>
      <c r="D182" s="368"/>
      <c r="E182" s="368"/>
      <c r="F182" s="310"/>
      <c r="G182" s="323" t="s">
        <v>161</v>
      </c>
      <c r="H182" s="324"/>
      <c r="I182" s="324"/>
      <c r="J182" s="324"/>
      <c r="K182" s="324"/>
      <c r="L182" s="324"/>
      <c r="M182" s="324"/>
      <c r="N182" s="324"/>
      <c r="O182" s="66"/>
    </row>
    <row r="183" spans="1:15" ht="23.1" customHeight="1">
      <c r="A183" s="326"/>
      <c r="B183" s="306"/>
      <c r="C183" s="306"/>
      <c r="D183" s="368"/>
      <c r="E183" s="368"/>
      <c r="F183" s="310"/>
      <c r="G183" s="314">
        <v>500000</v>
      </c>
      <c r="H183" s="315"/>
      <c r="I183" s="315"/>
      <c r="J183" s="315"/>
      <c r="K183" s="315"/>
      <c r="L183" s="315"/>
      <c r="M183" s="315"/>
      <c r="N183" s="62" t="s">
        <v>149</v>
      </c>
      <c r="O183" s="63">
        <f>G183*4</f>
        <v>2000000</v>
      </c>
    </row>
    <row r="184" spans="1:15" ht="23.1" customHeight="1">
      <c r="A184" s="326"/>
      <c r="B184" s="306"/>
      <c r="C184" s="307"/>
      <c r="D184" s="369"/>
      <c r="E184" s="369"/>
      <c r="F184" s="311"/>
      <c r="G184" s="370"/>
      <c r="H184" s="371"/>
      <c r="I184" s="371"/>
      <c r="J184" s="371"/>
      <c r="K184" s="371"/>
      <c r="L184" s="371"/>
      <c r="M184" s="371"/>
      <c r="N184" s="71"/>
      <c r="O184" s="65">
        <f>O179+O181+O183</f>
        <v>39000000</v>
      </c>
    </row>
    <row r="185" spans="1:15" ht="23.1" customHeight="1">
      <c r="A185" s="326"/>
      <c r="B185" s="306"/>
      <c r="C185" s="305" t="s">
        <v>246</v>
      </c>
      <c r="D185" s="367">
        <v>2000000</v>
      </c>
      <c r="E185" s="367">
        <f>O187</f>
        <v>4000000</v>
      </c>
      <c r="F185" s="309">
        <f>E185-D185</f>
        <v>2000000</v>
      </c>
      <c r="G185" s="341" t="s">
        <v>162</v>
      </c>
      <c r="H185" s="342"/>
      <c r="I185" s="342"/>
      <c r="J185" s="342"/>
      <c r="K185" s="342"/>
      <c r="L185" s="342"/>
      <c r="M185" s="342"/>
      <c r="N185" s="342"/>
      <c r="O185" s="69"/>
    </row>
    <row r="186" spans="1:15" ht="23.1" customHeight="1">
      <c r="A186" s="326"/>
      <c r="B186" s="306"/>
      <c r="C186" s="306"/>
      <c r="D186" s="368"/>
      <c r="E186" s="368"/>
      <c r="F186" s="310"/>
      <c r="G186" s="314">
        <v>1000000</v>
      </c>
      <c r="H186" s="315"/>
      <c r="I186" s="315"/>
      <c r="J186" s="315"/>
      <c r="K186" s="315"/>
      <c r="L186" s="315"/>
      <c r="M186" s="315"/>
      <c r="N186" s="62" t="s">
        <v>163</v>
      </c>
      <c r="O186" s="63">
        <f>G186*4</f>
        <v>4000000</v>
      </c>
    </row>
    <row r="187" spans="1:15" ht="23.1" customHeight="1">
      <c r="A187" s="326"/>
      <c r="B187" s="306"/>
      <c r="C187" s="307"/>
      <c r="D187" s="369"/>
      <c r="E187" s="369"/>
      <c r="F187" s="311"/>
      <c r="G187" s="370"/>
      <c r="H187" s="371"/>
      <c r="I187" s="371"/>
      <c r="J187" s="371"/>
      <c r="K187" s="371"/>
      <c r="L187" s="371"/>
      <c r="M187" s="371"/>
      <c r="N187" s="71"/>
      <c r="O187" s="65">
        <f>O186</f>
        <v>4000000</v>
      </c>
    </row>
    <row r="188" spans="1:15" ht="23.1" customHeight="1">
      <c r="A188" s="326"/>
      <c r="B188" s="306"/>
      <c r="C188" s="305" t="s">
        <v>247</v>
      </c>
      <c r="D188" s="367">
        <v>8400000</v>
      </c>
      <c r="E188" s="367">
        <f>O190</f>
        <v>8000000</v>
      </c>
      <c r="F188" s="309">
        <f>E188-D188</f>
        <v>-400000</v>
      </c>
      <c r="G188" s="341" t="s">
        <v>164</v>
      </c>
      <c r="H188" s="342"/>
      <c r="I188" s="342"/>
      <c r="J188" s="342"/>
      <c r="K188" s="342"/>
      <c r="L188" s="342"/>
      <c r="M188" s="342"/>
      <c r="N188" s="342"/>
      <c r="O188" s="69"/>
    </row>
    <row r="189" spans="1:15" ht="23.1" customHeight="1">
      <c r="A189" s="326"/>
      <c r="B189" s="306"/>
      <c r="C189" s="306"/>
      <c r="D189" s="368"/>
      <c r="E189" s="368"/>
      <c r="F189" s="364"/>
      <c r="G189" s="314">
        <v>2000000</v>
      </c>
      <c r="H189" s="315"/>
      <c r="I189" s="315"/>
      <c r="J189" s="315"/>
      <c r="K189" s="315"/>
      <c r="L189" s="315"/>
      <c r="M189" s="315"/>
      <c r="N189" s="62" t="s">
        <v>122</v>
      </c>
      <c r="O189" s="63">
        <f>G189*4</f>
        <v>8000000</v>
      </c>
    </row>
    <row r="190" spans="1:15" ht="23.1" customHeight="1">
      <c r="A190" s="326"/>
      <c r="B190" s="306"/>
      <c r="C190" s="307"/>
      <c r="D190" s="369"/>
      <c r="E190" s="369"/>
      <c r="F190" s="365"/>
      <c r="G190" s="370"/>
      <c r="H190" s="371"/>
      <c r="I190" s="371"/>
      <c r="J190" s="371"/>
      <c r="K190" s="371"/>
      <c r="L190" s="371"/>
      <c r="M190" s="371"/>
      <c r="N190" s="71"/>
      <c r="O190" s="65">
        <f>O189</f>
        <v>8000000</v>
      </c>
    </row>
    <row r="191" spans="1:15" ht="23.1" customHeight="1">
      <c r="A191" s="326"/>
      <c r="B191" s="306"/>
      <c r="C191" s="305" t="s">
        <v>248</v>
      </c>
      <c r="D191" s="335">
        <v>18000000</v>
      </c>
      <c r="E191" s="335">
        <f>O193</f>
        <v>18000000</v>
      </c>
      <c r="F191" s="338">
        <f>E191-D191</f>
        <v>0</v>
      </c>
      <c r="G191" s="341" t="s">
        <v>249</v>
      </c>
      <c r="H191" s="342"/>
      <c r="I191" s="342"/>
      <c r="J191" s="342"/>
      <c r="K191" s="342"/>
      <c r="L191" s="342"/>
      <c r="M191" s="342"/>
      <c r="N191" s="342"/>
      <c r="O191" s="382"/>
    </row>
    <row r="192" spans="1:15" ht="23.1" customHeight="1">
      <c r="A192" s="326"/>
      <c r="B192" s="306"/>
      <c r="C192" s="306"/>
      <c r="D192" s="336"/>
      <c r="E192" s="336"/>
      <c r="F192" s="339"/>
      <c r="G192" s="314">
        <v>1500000</v>
      </c>
      <c r="H192" s="315"/>
      <c r="I192" s="315"/>
      <c r="J192" s="315"/>
      <c r="K192" s="315"/>
      <c r="L192" s="315"/>
      <c r="M192" s="315"/>
      <c r="N192" s="80" t="s">
        <v>165</v>
      </c>
      <c r="O192" s="81">
        <f>G192*12</f>
        <v>18000000</v>
      </c>
    </row>
    <row r="193" spans="1:15" ht="23.1" customHeight="1">
      <c r="A193" s="326"/>
      <c r="B193" s="306"/>
      <c r="C193" s="307"/>
      <c r="D193" s="337"/>
      <c r="E193" s="337"/>
      <c r="F193" s="340"/>
      <c r="G193" s="362"/>
      <c r="H193" s="363"/>
      <c r="I193" s="363"/>
      <c r="J193" s="363"/>
      <c r="K193" s="363"/>
      <c r="L193" s="363"/>
      <c r="M193" s="363"/>
      <c r="N193" s="78"/>
      <c r="O193" s="82">
        <f>O192</f>
        <v>18000000</v>
      </c>
    </row>
    <row r="194" spans="1:15" ht="23.1" customHeight="1">
      <c r="A194" s="326"/>
      <c r="B194" s="306"/>
      <c r="C194" s="306" t="s">
        <v>250</v>
      </c>
      <c r="D194" s="336">
        <v>12000000</v>
      </c>
      <c r="E194" s="336">
        <f>O196</f>
        <v>12000000</v>
      </c>
      <c r="F194" s="310">
        <f>E194-D194</f>
        <v>0</v>
      </c>
      <c r="G194" s="323" t="s">
        <v>166</v>
      </c>
      <c r="H194" s="324"/>
      <c r="I194" s="324"/>
      <c r="J194" s="324"/>
      <c r="K194" s="324"/>
      <c r="L194" s="324"/>
      <c r="M194" s="324"/>
      <c r="N194" s="324"/>
      <c r="O194" s="66"/>
    </row>
    <row r="195" spans="1:15" ht="23.1" customHeight="1">
      <c r="A195" s="326"/>
      <c r="B195" s="306"/>
      <c r="C195" s="306"/>
      <c r="D195" s="336"/>
      <c r="E195" s="336"/>
      <c r="F195" s="310"/>
      <c r="G195" s="314">
        <v>1000000</v>
      </c>
      <c r="H195" s="315"/>
      <c r="I195" s="315"/>
      <c r="J195" s="315"/>
      <c r="K195" s="315"/>
      <c r="L195" s="315"/>
      <c r="M195" s="315"/>
      <c r="N195" s="62" t="s">
        <v>17</v>
      </c>
      <c r="O195" s="63">
        <v>12000000</v>
      </c>
    </row>
    <row r="196" spans="1:15" ht="23.1" customHeight="1">
      <c r="A196" s="326"/>
      <c r="B196" s="307"/>
      <c r="C196" s="307"/>
      <c r="D196" s="337"/>
      <c r="E196" s="337"/>
      <c r="F196" s="311"/>
      <c r="G196" s="370"/>
      <c r="H196" s="371"/>
      <c r="I196" s="371"/>
      <c r="J196" s="371"/>
      <c r="K196" s="371"/>
      <c r="L196" s="371"/>
      <c r="M196" s="371"/>
      <c r="N196" s="71"/>
      <c r="O196" s="65">
        <f>O195</f>
        <v>12000000</v>
      </c>
    </row>
    <row r="197" spans="1:15" ht="23.1" customHeight="1">
      <c r="A197" s="326"/>
      <c r="B197" s="305" t="s">
        <v>254</v>
      </c>
      <c r="C197" s="305" t="s">
        <v>255</v>
      </c>
      <c r="D197" s="367">
        <v>12400000</v>
      </c>
      <c r="E197" s="367">
        <f>O205</f>
        <v>21100000</v>
      </c>
      <c r="F197" s="309">
        <f>E197-D197</f>
        <v>8700000</v>
      </c>
      <c r="G197" s="341" t="s">
        <v>167</v>
      </c>
      <c r="H197" s="342"/>
      <c r="I197" s="342"/>
      <c r="J197" s="342"/>
      <c r="K197" s="342"/>
      <c r="L197" s="342"/>
      <c r="M197" s="342"/>
      <c r="N197" s="342"/>
      <c r="O197" s="69"/>
    </row>
    <row r="198" spans="1:15" ht="23.1" customHeight="1">
      <c r="A198" s="326"/>
      <c r="B198" s="306"/>
      <c r="C198" s="306"/>
      <c r="D198" s="368"/>
      <c r="E198" s="368"/>
      <c r="F198" s="310"/>
      <c r="G198" s="314">
        <v>300000</v>
      </c>
      <c r="H198" s="315"/>
      <c r="I198" s="315"/>
      <c r="J198" s="315"/>
      <c r="K198" s="315"/>
      <c r="L198" s="315"/>
      <c r="M198" s="315"/>
      <c r="N198" s="62" t="s">
        <v>165</v>
      </c>
      <c r="O198" s="63">
        <f>G198*12</f>
        <v>3600000</v>
      </c>
    </row>
    <row r="199" spans="1:15" ht="23.1" customHeight="1">
      <c r="A199" s="326"/>
      <c r="B199" s="306"/>
      <c r="C199" s="306"/>
      <c r="D199" s="368"/>
      <c r="E199" s="368"/>
      <c r="F199" s="310"/>
      <c r="G199" s="317" t="s">
        <v>251</v>
      </c>
      <c r="H199" s="318"/>
      <c r="I199" s="318"/>
      <c r="J199" s="318"/>
      <c r="K199" s="318"/>
      <c r="L199" s="318"/>
      <c r="M199" s="318"/>
      <c r="N199" s="62"/>
      <c r="O199" s="63"/>
    </row>
    <row r="200" spans="1:15" ht="23.1" customHeight="1">
      <c r="A200" s="326"/>
      <c r="B200" s="306"/>
      <c r="C200" s="306"/>
      <c r="D200" s="368"/>
      <c r="E200" s="368"/>
      <c r="F200" s="310"/>
      <c r="G200" s="314">
        <v>3000000</v>
      </c>
      <c r="H200" s="315"/>
      <c r="I200" s="315"/>
      <c r="J200" s="315"/>
      <c r="K200" s="315"/>
      <c r="L200" s="315"/>
      <c r="M200" s="315"/>
      <c r="N200" s="62" t="s">
        <v>219</v>
      </c>
      <c r="O200" s="63">
        <f>G200*4</f>
        <v>12000000</v>
      </c>
    </row>
    <row r="201" spans="1:15" ht="23.1" customHeight="1">
      <c r="A201" s="326"/>
      <c r="B201" s="306"/>
      <c r="C201" s="306"/>
      <c r="D201" s="368"/>
      <c r="E201" s="368"/>
      <c r="F201" s="310"/>
      <c r="G201" s="317" t="s">
        <v>252</v>
      </c>
      <c r="H201" s="318"/>
      <c r="I201" s="318"/>
      <c r="J201" s="318"/>
      <c r="K201" s="318"/>
      <c r="L201" s="318"/>
      <c r="M201" s="318"/>
      <c r="N201" s="62"/>
      <c r="O201" s="63"/>
    </row>
    <row r="202" spans="1:15" ht="23.1" customHeight="1">
      <c r="A202" s="326"/>
      <c r="B202" s="306"/>
      <c r="C202" s="306"/>
      <c r="D202" s="368"/>
      <c r="E202" s="368"/>
      <c r="F202" s="310"/>
      <c r="G202" s="314">
        <v>1500000</v>
      </c>
      <c r="H202" s="315"/>
      <c r="I202" s="315"/>
      <c r="J202" s="315"/>
      <c r="K202" s="315"/>
      <c r="L202" s="315"/>
      <c r="M202" s="315"/>
      <c r="N202" s="62" t="s">
        <v>241</v>
      </c>
      <c r="O202" s="63">
        <f>G202*2</f>
        <v>3000000</v>
      </c>
    </row>
    <row r="203" spans="1:15" ht="23.1" customHeight="1">
      <c r="A203" s="326"/>
      <c r="B203" s="306"/>
      <c r="C203" s="306"/>
      <c r="D203" s="368"/>
      <c r="E203" s="368"/>
      <c r="F203" s="310"/>
      <c r="G203" s="317" t="s">
        <v>253</v>
      </c>
      <c r="H203" s="318"/>
      <c r="I203" s="318"/>
      <c r="J203" s="318"/>
      <c r="K203" s="318"/>
      <c r="L203" s="318"/>
      <c r="M203" s="318"/>
      <c r="N203" s="62"/>
      <c r="O203" s="63"/>
    </row>
    <row r="204" spans="1:15" ht="23.1" customHeight="1">
      <c r="A204" s="326"/>
      <c r="B204" s="306"/>
      <c r="C204" s="306"/>
      <c r="D204" s="368"/>
      <c r="E204" s="368"/>
      <c r="F204" s="310"/>
      <c r="G204" s="314">
        <v>1250000</v>
      </c>
      <c r="H204" s="315"/>
      <c r="I204" s="315"/>
      <c r="J204" s="315"/>
      <c r="K204" s="315"/>
      <c r="L204" s="315"/>
      <c r="M204" s="315"/>
      <c r="N204" s="62" t="s">
        <v>241</v>
      </c>
      <c r="O204" s="63">
        <f>G204*2</f>
        <v>2500000</v>
      </c>
    </row>
    <row r="205" spans="1:15" ht="23.1" customHeight="1">
      <c r="A205" s="327"/>
      <c r="B205" s="307"/>
      <c r="C205" s="307"/>
      <c r="D205" s="369"/>
      <c r="E205" s="369"/>
      <c r="F205" s="311"/>
      <c r="G205" s="370"/>
      <c r="H205" s="371"/>
      <c r="I205" s="371"/>
      <c r="J205" s="371"/>
      <c r="K205" s="371"/>
      <c r="L205" s="371"/>
      <c r="M205" s="371"/>
      <c r="N205" s="71"/>
      <c r="O205" s="65">
        <f>O198+O200+O202+O204</f>
        <v>21100000</v>
      </c>
    </row>
    <row r="206" spans="1:15" s="77" customFormat="1" ht="23.1" customHeight="1" thickBot="1">
      <c r="A206" s="372"/>
      <c r="B206" s="373"/>
      <c r="C206" s="75" t="s">
        <v>13</v>
      </c>
      <c r="D206" s="76">
        <f>SUM(D169:D205)</f>
        <v>238461750</v>
      </c>
      <c r="E206" s="76">
        <f>SUM(E169:E205)</f>
        <v>314325000</v>
      </c>
      <c r="F206" s="76">
        <f>SUM(F169:F205)</f>
        <v>75863250</v>
      </c>
      <c r="G206" s="374"/>
      <c r="H206" s="375"/>
      <c r="I206" s="375"/>
      <c r="J206" s="375"/>
      <c r="K206" s="375"/>
      <c r="L206" s="375"/>
      <c r="M206" s="375"/>
      <c r="N206" s="375"/>
      <c r="O206" s="376"/>
    </row>
    <row r="207" spans="1:15" ht="23.1" customHeight="1" thickTop="1">
      <c r="A207" s="325" t="s">
        <v>256</v>
      </c>
      <c r="B207" s="328" t="s">
        <v>257</v>
      </c>
      <c r="C207" s="328" t="s">
        <v>258</v>
      </c>
      <c r="D207" s="379">
        <v>40000000</v>
      </c>
      <c r="E207" s="386">
        <v>0</v>
      </c>
      <c r="F207" s="379">
        <f>E207-D207</f>
        <v>-40000000</v>
      </c>
      <c r="G207" s="380" t="s">
        <v>168</v>
      </c>
      <c r="H207" s="381"/>
      <c r="I207" s="381"/>
      <c r="J207" s="381"/>
      <c r="K207" s="381"/>
      <c r="L207" s="381"/>
      <c r="M207" s="381"/>
      <c r="N207" s="381"/>
      <c r="O207" s="83"/>
    </row>
    <row r="208" spans="1:15" ht="23.1" customHeight="1">
      <c r="A208" s="326"/>
      <c r="B208" s="306"/>
      <c r="C208" s="306"/>
      <c r="D208" s="310"/>
      <c r="E208" s="336"/>
      <c r="F208" s="310"/>
      <c r="G208" s="314"/>
      <c r="H208" s="315"/>
      <c r="I208" s="315"/>
      <c r="J208" s="315"/>
      <c r="K208" s="315"/>
      <c r="L208" s="315"/>
      <c r="M208" s="315"/>
      <c r="N208" s="62"/>
      <c r="O208" s="63">
        <v>0</v>
      </c>
    </row>
    <row r="209" spans="1:15" ht="23.1" customHeight="1">
      <c r="A209" s="326"/>
      <c r="B209" s="306"/>
      <c r="C209" s="307"/>
      <c r="D209" s="311"/>
      <c r="E209" s="337"/>
      <c r="F209" s="311"/>
      <c r="G209" s="370"/>
      <c r="H209" s="371"/>
      <c r="I209" s="371"/>
      <c r="J209" s="371"/>
      <c r="K209" s="371"/>
      <c r="L209" s="371"/>
      <c r="M209" s="371"/>
      <c r="N209" s="71"/>
      <c r="O209" s="65">
        <f>O208</f>
        <v>0</v>
      </c>
    </row>
    <row r="210" spans="1:15" ht="23.1" customHeight="1">
      <c r="A210" s="326"/>
      <c r="B210" s="306"/>
      <c r="C210" s="305" t="s">
        <v>259</v>
      </c>
      <c r="D210" s="338">
        <v>2400000</v>
      </c>
      <c r="E210" s="335">
        <v>0</v>
      </c>
      <c r="F210" s="338">
        <f>E210-D210</f>
        <v>-2400000</v>
      </c>
      <c r="G210" s="341" t="s">
        <v>169</v>
      </c>
      <c r="H210" s="342"/>
      <c r="I210" s="342"/>
      <c r="J210" s="342"/>
      <c r="K210" s="342"/>
      <c r="L210" s="342"/>
      <c r="M210" s="342"/>
      <c r="N210" s="342"/>
      <c r="O210" s="84"/>
    </row>
    <row r="211" spans="1:15" ht="23.1" customHeight="1">
      <c r="A211" s="326"/>
      <c r="B211" s="306"/>
      <c r="C211" s="306"/>
      <c r="D211" s="339"/>
      <c r="E211" s="336"/>
      <c r="F211" s="339"/>
      <c r="G211" s="314"/>
      <c r="H211" s="315"/>
      <c r="I211" s="315"/>
      <c r="J211" s="315"/>
      <c r="K211" s="315"/>
      <c r="L211" s="315"/>
      <c r="M211" s="315"/>
      <c r="N211" s="86"/>
      <c r="O211" s="63">
        <v>0</v>
      </c>
    </row>
    <row r="212" spans="1:15" ht="23.1" customHeight="1">
      <c r="A212" s="327"/>
      <c r="B212" s="307"/>
      <c r="C212" s="307"/>
      <c r="D212" s="340"/>
      <c r="E212" s="337"/>
      <c r="F212" s="340"/>
      <c r="G212" s="383"/>
      <c r="H212" s="384"/>
      <c r="I212" s="384"/>
      <c r="J212" s="384"/>
      <c r="K212" s="384"/>
      <c r="L212" s="384"/>
      <c r="M212" s="384"/>
      <c r="N212" s="88"/>
      <c r="O212" s="63">
        <v>0</v>
      </c>
    </row>
    <row r="213" spans="1:15" s="77" customFormat="1" ht="23.1" customHeight="1" thickBot="1">
      <c r="A213" s="372"/>
      <c r="B213" s="373"/>
      <c r="C213" s="75" t="s">
        <v>13</v>
      </c>
      <c r="D213" s="76">
        <f>SUM(D207:D212)</f>
        <v>42400000</v>
      </c>
      <c r="E213" s="76">
        <f t="shared" ref="E213:F213" si="2">SUM(E207:E212)</f>
        <v>0</v>
      </c>
      <c r="F213" s="76">
        <f t="shared" si="2"/>
        <v>-42400000</v>
      </c>
      <c r="G213" s="374"/>
      <c r="H213" s="375"/>
      <c r="I213" s="375"/>
      <c r="J213" s="375"/>
      <c r="K213" s="375"/>
      <c r="L213" s="375"/>
      <c r="M213" s="375"/>
      <c r="N213" s="375"/>
      <c r="O213" s="376"/>
    </row>
    <row r="214" spans="1:15" ht="23.1" customHeight="1" thickTop="1">
      <c r="A214" s="325" t="s">
        <v>260</v>
      </c>
      <c r="B214" s="328" t="s">
        <v>261</v>
      </c>
      <c r="C214" s="328" t="s">
        <v>262</v>
      </c>
      <c r="D214" s="379">
        <v>12051230</v>
      </c>
      <c r="E214" s="378">
        <f>O220</f>
        <v>16043851</v>
      </c>
      <c r="F214" s="379">
        <f>E214-D214</f>
        <v>3992621</v>
      </c>
      <c r="G214" s="380" t="s">
        <v>264</v>
      </c>
      <c r="H214" s="381"/>
      <c r="I214" s="381"/>
      <c r="J214" s="381"/>
      <c r="K214" s="381"/>
      <c r="L214" s="381"/>
      <c r="M214" s="381"/>
      <c r="N214" s="381"/>
      <c r="O214" s="79"/>
    </row>
    <row r="215" spans="1:15" ht="23.1" customHeight="1">
      <c r="A215" s="326"/>
      <c r="B215" s="306"/>
      <c r="C215" s="306"/>
      <c r="D215" s="310"/>
      <c r="E215" s="368"/>
      <c r="F215" s="310"/>
      <c r="G215" s="314">
        <v>6000000</v>
      </c>
      <c r="H215" s="315"/>
      <c r="I215" s="315"/>
      <c r="J215" s="315"/>
      <c r="K215" s="315"/>
      <c r="L215" s="315"/>
      <c r="M215" s="315"/>
      <c r="N215" s="62" t="s">
        <v>144</v>
      </c>
      <c r="O215" s="63">
        <f>G215*1</f>
        <v>6000000</v>
      </c>
    </row>
    <row r="216" spans="1:15" ht="23.1" customHeight="1">
      <c r="A216" s="326"/>
      <c r="B216" s="306"/>
      <c r="C216" s="306"/>
      <c r="D216" s="310"/>
      <c r="E216" s="368"/>
      <c r="F216" s="310"/>
      <c r="G216" s="323" t="s">
        <v>170</v>
      </c>
      <c r="H216" s="324"/>
      <c r="I216" s="324"/>
      <c r="J216" s="324"/>
      <c r="K216" s="324"/>
      <c r="L216" s="324"/>
      <c r="M216" s="324"/>
      <c r="N216" s="324"/>
      <c r="O216" s="63"/>
    </row>
    <row r="217" spans="1:15" ht="23.1" customHeight="1">
      <c r="A217" s="326"/>
      <c r="B217" s="306"/>
      <c r="C217" s="306"/>
      <c r="D217" s="310"/>
      <c r="E217" s="368"/>
      <c r="F217" s="310"/>
      <c r="G217" s="361"/>
      <c r="H217" s="316"/>
      <c r="I217" s="316"/>
      <c r="J217" s="316"/>
      <c r="K217" s="316"/>
      <c r="L217" s="316"/>
      <c r="M217" s="316"/>
      <c r="N217" s="62"/>
      <c r="O217" s="87">
        <v>8243851</v>
      </c>
    </row>
    <row r="218" spans="1:15" ht="23.1" customHeight="1">
      <c r="A218" s="326"/>
      <c r="B218" s="306"/>
      <c r="C218" s="306"/>
      <c r="D218" s="310"/>
      <c r="E218" s="368"/>
      <c r="F218" s="310"/>
      <c r="G218" s="323" t="s">
        <v>171</v>
      </c>
      <c r="H218" s="324"/>
      <c r="I218" s="324"/>
      <c r="J218" s="324"/>
      <c r="K218" s="324"/>
      <c r="L218" s="324"/>
      <c r="M218" s="324"/>
      <c r="N218" s="62"/>
      <c r="O218" s="63"/>
    </row>
    <row r="219" spans="1:15" ht="23.1" customHeight="1">
      <c r="A219" s="326"/>
      <c r="B219" s="306"/>
      <c r="C219" s="306"/>
      <c r="D219" s="310"/>
      <c r="E219" s="368"/>
      <c r="F219" s="310"/>
      <c r="G219" s="314">
        <v>150000</v>
      </c>
      <c r="H219" s="316"/>
      <c r="I219" s="316"/>
      <c r="J219" s="316"/>
      <c r="K219" s="316"/>
      <c r="L219" s="316"/>
      <c r="M219" s="316"/>
      <c r="N219" s="62" t="s">
        <v>263</v>
      </c>
      <c r="O219" s="63">
        <f>G219*12</f>
        <v>1800000</v>
      </c>
    </row>
    <row r="220" spans="1:15" ht="23.1" customHeight="1">
      <c r="A220" s="327"/>
      <c r="B220" s="307"/>
      <c r="C220" s="307"/>
      <c r="D220" s="311"/>
      <c r="E220" s="369"/>
      <c r="F220" s="311"/>
      <c r="G220" s="370"/>
      <c r="H220" s="371"/>
      <c r="I220" s="371"/>
      <c r="J220" s="371"/>
      <c r="K220" s="371"/>
      <c r="L220" s="371"/>
      <c r="M220" s="371"/>
      <c r="N220" s="71"/>
      <c r="O220" s="65">
        <f>O215+O217+O219</f>
        <v>16043851</v>
      </c>
    </row>
    <row r="221" spans="1:15" s="77" customFormat="1" ht="23.1" customHeight="1" thickBot="1">
      <c r="A221" s="372"/>
      <c r="B221" s="373"/>
      <c r="C221" s="75" t="s">
        <v>13</v>
      </c>
      <c r="D221" s="76">
        <f>SUM(D214)</f>
        <v>12051230</v>
      </c>
      <c r="E221" s="76">
        <f t="shared" ref="E221:F221" si="3">SUM(E214)</f>
        <v>16043851</v>
      </c>
      <c r="F221" s="76">
        <f t="shared" si="3"/>
        <v>3992621</v>
      </c>
      <c r="G221" s="374"/>
      <c r="H221" s="375"/>
      <c r="I221" s="375"/>
      <c r="J221" s="375"/>
      <c r="K221" s="375"/>
      <c r="L221" s="375"/>
      <c r="M221" s="375"/>
      <c r="N221" s="375"/>
      <c r="O221" s="376"/>
    </row>
    <row r="222" spans="1:15" ht="12.75" thickTop="1">
      <c r="A222" s="89"/>
    </row>
    <row r="223" spans="1:15">
      <c r="A223" s="89"/>
    </row>
  </sheetData>
  <mergeCells count="371">
    <mergeCell ref="A7:A157"/>
    <mergeCell ref="C7:C43"/>
    <mergeCell ref="C44:C54"/>
    <mergeCell ref="G217:K217"/>
    <mergeCell ref="L217:M217"/>
    <mergeCell ref="G218:M218"/>
    <mergeCell ref="G220:M220"/>
    <mergeCell ref="A221:B221"/>
    <mergeCell ref="A206:B206"/>
    <mergeCell ref="G206:O206"/>
    <mergeCell ref="D207:D209"/>
    <mergeCell ref="E207:E209"/>
    <mergeCell ref="F207:F209"/>
    <mergeCell ref="G207:N207"/>
    <mergeCell ref="G208:M208"/>
    <mergeCell ref="G209:M209"/>
    <mergeCell ref="G221:O221"/>
    <mergeCell ref="A213:B213"/>
    <mergeCell ref="G213:O213"/>
    <mergeCell ref="D214:D220"/>
    <mergeCell ref="E214:E220"/>
    <mergeCell ref="F214:F220"/>
    <mergeCell ref="G214:N214"/>
    <mergeCell ref="G215:M215"/>
    <mergeCell ref="G216:N216"/>
    <mergeCell ref="D197:D205"/>
    <mergeCell ref="E197:E205"/>
    <mergeCell ref="F197:F205"/>
    <mergeCell ref="G197:N197"/>
    <mergeCell ref="G198:M198"/>
    <mergeCell ref="G203:M203"/>
    <mergeCell ref="G205:M205"/>
    <mergeCell ref="G201:M201"/>
    <mergeCell ref="D210:D212"/>
    <mergeCell ref="E210:E212"/>
    <mergeCell ref="F210:F212"/>
    <mergeCell ref="G210:N210"/>
    <mergeCell ref="G211:M211"/>
    <mergeCell ref="G212:M212"/>
    <mergeCell ref="D194:D196"/>
    <mergeCell ref="E194:E196"/>
    <mergeCell ref="F194:F196"/>
    <mergeCell ref="G194:N194"/>
    <mergeCell ref="G195:M195"/>
    <mergeCell ref="G196:M196"/>
    <mergeCell ref="D191:D193"/>
    <mergeCell ref="E191:E193"/>
    <mergeCell ref="F191:F193"/>
    <mergeCell ref="G191:O191"/>
    <mergeCell ref="G192:M192"/>
    <mergeCell ref="G193:I193"/>
    <mergeCell ref="J193:M193"/>
    <mergeCell ref="D188:D190"/>
    <mergeCell ref="E188:E190"/>
    <mergeCell ref="F188:F190"/>
    <mergeCell ref="G188:N188"/>
    <mergeCell ref="G189:M189"/>
    <mergeCell ref="G190:M190"/>
    <mergeCell ref="G184:M184"/>
    <mergeCell ref="D185:D187"/>
    <mergeCell ref="E185:E187"/>
    <mergeCell ref="F185:F187"/>
    <mergeCell ref="G185:N185"/>
    <mergeCell ref="G186:M186"/>
    <mergeCell ref="G187:M187"/>
    <mergeCell ref="D178:D184"/>
    <mergeCell ref="E178:E184"/>
    <mergeCell ref="F178:F184"/>
    <mergeCell ref="G178:N178"/>
    <mergeCell ref="G179:M179"/>
    <mergeCell ref="G180:N180"/>
    <mergeCell ref="G181:M181"/>
    <mergeCell ref="G182:N182"/>
    <mergeCell ref="G183:M183"/>
    <mergeCell ref="A168:B168"/>
    <mergeCell ref="G168:O168"/>
    <mergeCell ref="D169:D177"/>
    <mergeCell ref="E169:E177"/>
    <mergeCell ref="F169:F177"/>
    <mergeCell ref="G169:N169"/>
    <mergeCell ref="G170:L170"/>
    <mergeCell ref="G171:N171"/>
    <mergeCell ref="G172:L172"/>
    <mergeCell ref="G173:N173"/>
    <mergeCell ref="G177:M177"/>
    <mergeCell ref="D165:D167"/>
    <mergeCell ref="E165:E167"/>
    <mergeCell ref="F165:F167"/>
    <mergeCell ref="G165:N165"/>
    <mergeCell ref="G166:M166"/>
    <mergeCell ref="G167:J167"/>
    <mergeCell ref="K167:M167"/>
    <mergeCell ref="D162:D164"/>
    <mergeCell ref="E162:E164"/>
    <mergeCell ref="F162:F164"/>
    <mergeCell ref="G162:N162"/>
    <mergeCell ref="G163:M163"/>
    <mergeCell ref="G164:J164"/>
    <mergeCell ref="K164:M164"/>
    <mergeCell ref="A158:B158"/>
    <mergeCell ref="G158:O158"/>
    <mergeCell ref="D159:D161"/>
    <mergeCell ref="E159:E161"/>
    <mergeCell ref="F159:F161"/>
    <mergeCell ref="G159:N159"/>
    <mergeCell ref="G160:M160"/>
    <mergeCell ref="G161:M161"/>
    <mergeCell ref="J144:M144"/>
    <mergeCell ref="D145:D157"/>
    <mergeCell ref="E145:E157"/>
    <mergeCell ref="F145:F157"/>
    <mergeCell ref="G145:N145"/>
    <mergeCell ref="G146:H146"/>
    <mergeCell ref="I146:M146"/>
    <mergeCell ref="G155:N155"/>
    <mergeCell ref="G156:M156"/>
    <mergeCell ref="G157:N157"/>
    <mergeCell ref="D138:D144"/>
    <mergeCell ref="E138:E144"/>
    <mergeCell ref="F138:F144"/>
    <mergeCell ref="G138:N138"/>
    <mergeCell ref="G139:M139"/>
    <mergeCell ref="G140:N140"/>
    <mergeCell ref="G141:M141"/>
    <mergeCell ref="G142:N142"/>
    <mergeCell ref="G143:M143"/>
    <mergeCell ref="G144:I144"/>
    <mergeCell ref="G132:M132"/>
    <mergeCell ref="G133:N133"/>
    <mergeCell ref="G134:M134"/>
    <mergeCell ref="G135:N135"/>
    <mergeCell ref="G136:M136"/>
    <mergeCell ref="G137:M137"/>
    <mergeCell ref="G131:N131"/>
    <mergeCell ref="G119:N119"/>
    <mergeCell ref="G120:M120"/>
    <mergeCell ref="G121:N121"/>
    <mergeCell ref="G122:M122"/>
    <mergeCell ref="G123:N123"/>
    <mergeCell ref="G124:M124"/>
    <mergeCell ref="G125:N125"/>
    <mergeCell ref="D119:D137"/>
    <mergeCell ref="E119:E137"/>
    <mergeCell ref="F119:F137"/>
    <mergeCell ref="G99:M99"/>
    <mergeCell ref="G100:M100"/>
    <mergeCell ref="G101:M101"/>
    <mergeCell ref="G102:M102"/>
    <mergeCell ref="G126:M126"/>
    <mergeCell ref="G127:N127"/>
    <mergeCell ref="G128:M128"/>
    <mergeCell ref="G129:N129"/>
    <mergeCell ref="G130:M130"/>
    <mergeCell ref="D84:D118"/>
    <mergeCell ref="E84:E118"/>
    <mergeCell ref="F84:F118"/>
    <mergeCell ref="G84:N84"/>
    <mergeCell ref="G85:M85"/>
    <mergeCell ref="G86:N86"/>
    <mergeCell ref="G87:M87"/>
    <mergeCell ref="G88:N88"/>
    <mergeCell ref="G89:M89"/>
    <mergeCell ref="G93:M93"/>
    <mergeCell ref="G94:N94"/>
    <mergeCell ref="G95:M95"/>
    <mergeCell ref="G96:N96"/>
    <mergeCell ref="G90:N90"/>
    <mergeCell ref="G91:M91"/>
    <mergeCell ref="G92:N92"/>
    <mergeCell ref="G103:M103"/>
    <mergeCell ref="G104:M104"/>
    <mergeCell ref="G105:M105"/>
    <mergeCell ref="G116:N116"/>
    <mergeCell ref="G117:M117"/>
    <mergeCell ref="G118:N118"/>
    <mergeCell ref="G97:M97"/>
    <mergeCell ref="G98:M98"/>
    <mergeCell ref="G77:M77"/>
    <mergeCell ref="D70:D72"/>
    <mergeCell ref="E70:E72"/>
    <mergeCell ref="F70:F72"/>
    <mergeCell ref="G70:N70"/>
    <mergeCell ref="G71:M71"/>
    <mergeCell ref="G72:M72"/>
    <mergeCell ref="D81:D83"/>
    <mergeCell ref="E81:E83"/>
    <mergeCell ref="F81:F83"/>
    <mergeCell ref="G81:N81"/>
    <mergeCell ref="G82:M82"/>
    <mergeCell ref="G83:M83"/>
    <mergeCell ref="D78:D80"/>
    <mergeCell ref="E78:E80"/>
    <mergeCell ref="F78:F80"/>
    <mergeCell ref="G78:N78"/>
    <mergeCell ref="G79:M79"/>
    <mergeCell ref="G80:M80"/>
    <mergeCell ref="G54:N54"/>
    <mergeCell ref="D55:D57"/>
    <mergeCell ref="E55:E57"/>
    <mergeCell ref="F55:F57"/>
    <mergeCell ref="G55:N55"/>
    <mergeCell ref="G56:M56"/>
    <mergeCell ref="G57:M57"/>
    <mergeCell ref="D58:D66"/>
    <mergeCell ref="G51:I51"/>
    <mergeCell ref="J51:M51"/>
    <mergeCell ref="G52:N52"/>
    <mergeCell ref="G53:M53"/>
    <mergeCell ref="E58:E66"/>
    <mergeCell ref="F58:F66"/>
    <mergeCell ref="G58:N58"/>
    <mergeCell ref="G59:M59"/>
    <mergeCell ref="G60:N60"/>
    <mergeCell ref="G61:M61"/>
    <mergeCell ref="G62:N62"/>
    <mergeCell ref="G63:M63"/>
    <mergeCell ref="G64:N64"/>
    <mergeCell ref="G65:M65"/>
    <mergeCell ref="G66:N66"/>
    <mergeCell ref="G47:I47"/>
    <mergeCell ref="J47:M47"/>
    <mergeCell ref="G48:N48"/>
    <mergeCell ref="G49:I49"/>
    <mergeCell ref="J49:M49"/>
    <mergeCell ref="G50:N50"/>
    <mergeCell ref="G43:N43"/>
    <mergeCell ref="D44:D54"/>
    <mergeCell ref="E44:E54"/>
    <mergeCell ref="F44:F54"/>
    <mergeCell ref="G44:N44"/>
    <mergeCell ref="G45:I45"/>
    <mergeCell ref="J45:M45"/>
    <mergeCell ref="G46:N46"/>
    <mergeCell ref="D7:D43"/>
    <mergeCell ref="E7:E43"/>
    <mergeCell ref="F7:F43"/>
    <mergeCell ref="G7:O7"/>
    <mergeCell ref="G8:I8"/>
    <mergeCell ref="J8:M8"/>
    <mergeCell ref="G9:N9"/>
    <mergeCell ref="G10:I10"/>
    <mergeCell ref="J10:M10"/>
    <mergeCell ref="G11:N11"/>
    <mergeCell ref="G40:I40"/>
    <mergeCell ref="J40:M40"/>
    <mergeCell ref="G41:N41"/>
    <mergeCell ref="G42:I42"/>
    <mergeCell ref="J42:M42"/>
    <mergeCell ref="G36:I36"/>
    <mergeCell ref="J36:M36"/>
    <mergeCell ref="G37:N37"/>
    <mergeCell ref="G38:I38"/>
    <mergeCell ref="J38:M38"/>
    <mergeCell ref="G39:N39"/>
    <mergeCell ref="G32:I32"/>
    <mergeCell ref="J32:M32"/>
    <mergeCell ref="G33:N33"/>
    <mergeCell ref="G34:I34"/>
    <mergeCell ref="J34:M34"/>
    <mergeCell ref="G35:N35"/>
    <mergeCell ref="G28:I28"/>
    <mergeCell ref="J28:M28"/>
    <mergeCell ref="G29:N29"/>
    <mergeCell ref="G30:I30"/>
    <mergeCell ref="J30:M30"/>
    <mergeCell ref="G31:N31"/>
    <mergeCell ref="G26:I26"/>
    <mergeCell ref="J26:M26"/>
    <mergeCell ref="G27:N27"/>
    <mergeCell ref="G20:I20"/>
    <mergeCell ref="J20:M20"/>
    <mergeCell ref="G21:N21"/>
    <mergeCell ref="G22:I22"/>
    <mergeCell ref="J22:M22"/>
    <mergeCell ref="G23:N23"/>
    <mergeCell ref="A1:O1"/>
    <mergeCell ref="A3:O3"/>
    <mergeCell ref="A4:C4"/>
    <mergeCell ref="D4:F4"/>
    <mergeCell ref="G4:O5"/>
    <mergeCell ref="A6:C6"/>
    <mergeCell ref="G6:O6"/>
    <mergeCell ref="C58:C66"/>
    <mergeCell ref="C55:C57"/>
    <mergeCell ref="G16:I16"/>
    <mergeCell ref="J16:M16"/>
    <mergeCell ref="G17:N17"/>
    <mergeCell ref="G18:I18"/>
    <mergeCell ref="J18:M18"/>
    <mergeCell ref="G19:N19"/>
    <mergeCell ref="G12:I12"/>
    <mergeCell ref="J12:M12"/>
    <mergeCell ref="G13:N13"/>
    <mergeCell ref="G14:I14"/>
    <mergeCell ref="J14:M14"/>
    <mergeCell ref="G15:N15"/>
    <mergeCell ref="G24:I24"/>
    <mergeCell ref="J24:M24"/>
    <mergeCell ref="G25:N25"/>
    <mergeCell ref="C73:C77"/>
    <mergeCell ref="C78:C80"/>
    <mergeCell ref="C81:C83"/>
    <mergeCell ref="B70:B80"/>
    <mergeCell ref="B81:B157"/>
    <mergeCell ref="C84:C118"/>
    <mergeCell ref="G106:M106"/>
    <mergeCell ref="G107:M107"/>
    <mergeCell ref="G108:M108"/>
    <mergeCell ref="G113:M113"/>
    <mergeCell ref="G109:M109"/>
    <mergeCell ref="G110:M110"/>
    <mergeCell ref="G111:M111"/>
    <mergeCell ref="G112:M112"/>
    <mergeCell ref="G114:M114"/>
    <mergeCell ref="G115:M115"/>
    <mergeCell ref="C119:C137"/>
    <mergeCell ref="D73:D77"/>
    <mergeCell ref="E73:E77"/>
    <mergeCell ref="F73:F77"/>
    <mergeCell ref="G73:N73"/>
    <mergeCell ref="G74:M74"/>
    <mergeCell ref="G75:N75"/>
    <mergeCell ref="G76:M76"/>
    <mergeCell ref="A207:A212"/>
    <mergeCell ref="B207:B212"/>
    <mergeCell ref="C207:C209"/>
    <mergeCell ref="C210:C212"/>
    <mergeCell ref="A214:A220"/>
    <mergeCell ref="B214:B220"/>
    <mergeCell ref="C214:C220"/>
    <mergeCell ref="G219:M219"/>
    <mergeCell ref="A159:A167"/>
    <mergeCell ref="B159:B167"/>
    <mergeCell ref="C159:C161"/>
    <mergeCell ref="C162:C164"/>
    <mergeCell ref="C165:C167"/>
    <mergeCell ref="A169:A205"/>
    <mergeCell ref="B169:B196"/>
    <mergeCell ref="C169:C177"/>
    <mergeCell ref="G175:M175"/>
    <mergeCell ref="G176:M176"/>
    <mergeCell ref="G174:L174"/>
    <mergeCell ref="C178:C184"/>
    <mergeCell ref="C185:C187"/>
    <mergeCell ref="C188:C190"/>
    <mergeCell ref="C191:C193"/>
    <mergeCell ref="C194:C196"/>
    <mergeCell ref="C67:C69"/>
    <mergeCell ref="B7:B69"/>
    <mergeCell ref="D67:D69"/>
    <mergeCell ref="E67:E69"/>
    <mergeCell ref="F67:F69"/>
    <mergeCell ref="G67:M67"/>
    <mergeCell ref="G150:K150"/>
    <mergeCell ref="L150:M150"/>
    <mergeCell ref="C197:C205"/>
    <mergeCell ref="G199:M199"/>
    <mergeCell ref="G200:M200"/>
    <mergeCell ref="G202:M202"/>
    <mergeCell ref="G204:M204"/>
    <mergeCell ref="B197:B205"/>
    <mergeCell ref="C138:C144"/>
    <mergeCell ref="C145:C157"/>
    <mergeCell ref="G147:M147"/>
    <mergeCell ref="G148:M148"/>
    <mergeCell ref="G149:M149"/>
    <mergeCell ref="G152:M152"/>
    <mergeCell ref="G154:M154"/>
    <mergeCell ref="G151:N151"/>
    <mergeCell ref="G153:N153"/>
    <mergeCell ref="C70:C72"/>
  </mergeCells>
  <phoneticPr fontId="2" type="noConversion"/>
  <printOptions horizontalCentered="1"/>
  <pageMargins left="0.11811023622047245" right="0.11811023622047245" top="0.51181102362204722" bottom="0.19685039370078741" header="0.31496062992125984" footer="0.11811023622047245"/>
  <pageSetup paperSize="9" scale="76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0"/>
  <sheetViews>
    <sheetView workbookViewId="0">
      <selection activeCell="G45" sqref="G45"/>
    </sheetView>
  </sheetViews>
  <sheetFormatPr defaultRowHeight="16.5"/>
  <cols>
    <col min="1" max="1" width="5.5" customWidth="1"/>
    <col min="2" max="2" width="9.75" customWidth="1"/>
    <col min="4" max="4" width="7.75" customWidth="1"/>
    <col min="5" max="5" width="13.625" customWidth="1"/>
    <col min="6" max="15" width="11.625" customWidth="1"/>
  </cols>
  <sheetData>
    <row r="1" spans="1:26" ht="38.25" customHeight="1" thickBot="1">
      <c r="A1" s="389" t="s">
        <v>273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</row>
    <row r="2" spans="1:26" s="129" customFormat="1" ht="39" customHeight="1" thickBot="1">
      <c r="A2" s="167" t="s">
        <v>274</v>
      </c>
      <c r="B2" s="168" t="s">
        <v>275</v>
      </c>
      <c r="C2" s="168" t="s">
        <v>267</v>
      </c>
      <c r="D2" s="168" t="s">
        <v>276</v>
      </c>
      <c r="E2" s="169" t="s">
        <v>277</v>
      </c>
      <c r="F2" s="168" t="s">
        <v>282</v>
      </c>
      <c r="G2" s="168" t="s">
        <v>283</v>
      </c>
      <c r="H2" s="168" t="s">
        <v>284</v>
      </c>
      <c r="I2" s="168" t="s">
        <v>285</v>
      </c>
      <c r="J2" s="168" t="s">
        <v>271</v>
      </c>
      <c r="K2" s="168" t="s">
        <v>272</v>
      </c>
      <c r="L2" s="168" t="s">
        <v>286</v>
      </c>
      <c r="M2" s="168" t="s">
        <v>287</v>
      </c>
      <c r="N2" s="168" t="s">
        <v>288</v>
      </c>
      <c r="O2" s="170" t="s">
        <v>289</v>
      </c>
      <c r="R2" s="130"/>
      <c r="S2" s="130"/>
      <c r="T2" s="130"/>
      <c r="U2" s="130"/>
      <c r="V2" s="130"/>
      <c r="W2" s="130"/>
      <c r="X2" s="130"/>
      <c r="Y2" s="130"/>
      <c r="Z2" s="130"/>
    </row>
    <row r="3" spans="1:26" s="129" customFormat="1" ht="21" customHeight="1" thickTop="1">
      <c r="A3" s="159">
        <v>1</v>
      </c>
      <c r="B3" s="160" t="s">
        <v>290</v>
      </c>
      <c r="C3" s="160"/>
      <c r="D3" s="161" t="s">
        <v>291</v>
      </c>
      <c r="E3" s="162">
        <f>5000000*12</f>
        <v>60000000</v>
      </c>
      <c r="F3" s="163"/>
      <c r="G3" s="164">
        <f>40000*12</f>
        <v>480000</v>
      </c>
      <c r="H3" s="163">
        <f>150000*12</f>
        <v>1800000</v>
      </c>
      <c r="I3" s="163"/>
      <c r="J3" s="165"/>
      <c r="K3" s="164">
        <f>SUM(E3:J3)*3%</f>
        <v>1868400</v>
      </c>
      <c r="L3" s="163">
        <f>SUM(E3:J3)*4.5%</f>
        <v>2802600</v>
      </c>
      <c r="M3" s="163">
        <f>SUM(E3:J3)*0.65%</f>
        <v>404820.00000000006</v>
      </c>
      <c r="N3" s="163">
        <f>SUM(E3:J3)*0.5%</f>
        <v>311400</v>
      </c>
      <c r="O3" s="166">
        <f>SUM(E3:J3)/12</f>
        <v>5190000</v>
      </c>
      <c r="Q3" s="129" t="e">
        <f>#REF!-#REF!</f>
        <v>#REF!</v>
      </c>
      <c r="R3" s="130"/>
      <c r="S3" s="130"/>
      <c r="T3" s="130"/>
      <c r="U3" s="130"/>
      <c r="V3" s="130"/>
      <c r="W3" s="130"/>
      <c r="X3" s="130"/>
      <c r="Y3" s="130"/>
      <c r="Z3" s="130"/>
    </row>
    <row r="4" spans="1:26" s="129" customFormat="1" ht="21" customHeight="1">
      <c r="A4" s="142">
        <v>2</v>
      </c>
      <c r="B4" s="99" t="s">
        <v>292</v>
      </c>
      <c r="C4" s="99"/>
      <c r="D4" s="100" t="s">
        <v>293</v>
      </c>
      <c r="E4" s="101">
        <f>3100000*12</f>
        <v>37200000</v>
      </c>
      <c r="F4" s="102"/>
      <c r="G4" s="103">
        <f t="shared" ref="G4:G5" si="0">40000*12</f>
        <v>480000</v>
      </c>
      <c r="H4" s="102">
        <f t="shared" ref="H4:H48" si="1">150000*12</f>
        <v>1800000</v>
      </c>
      <c r="I4" s="102"/>
      <c r="J4" s="104"/>
      <c r="K4" s="103">
        <f t="shared" ref="K4:K48" si="2">SUM(E4:J4)*3%</f>
        <v>1184400</v>
      </c>
      <c r="L4" s="102">
        <f t="shared" ref="L4:L48" si="3">SUM(E4:J4)*4.5%</f>
        <v>1776600</v>
      </c>
      <c r="M4" s="102">
        <f t="shared" ref="M4:M48" si="4">SUM(E4:J4)*0.65%</f>
        <v>256620.00000000003</v>
      </c>
      <c r="N4" s="102">
        <f t="shared" ref="N4:N48" si="5">SUM(E4:J4)*0.5%</f>
        <v>197400</v>
      </c>
      <c r="O4" s="143">
        <f t="shared" ref="O4:O48" si="6">SUM(E4:J4)/12</f>
        <v>3290000</v>
      </c>
      <c r="Q4" s="129" t="e">
        <f>#REF!-#REF!</f>
        <v>#REF!</v>
      </c>
      <c r="R4" s="130"/>
      <c r="S4" s="130"/>
      <c r="T4" s="130"/>
      <c r="U4" s="130"/>
      <c r="V4" s="130"/>
      <c r="W4" s="130"/>
      <c r="X4" s="130"/>
      <c r="Y4" s="130"/>
      <c r="Z4" s="130"/>
    </row>
    <row r="5" spans="1:26" s="129" customFormat="1" ht="21" customHeight="1">
      <c r="A5" s="142">
        <v>3</v>
      </c>
      <c r="B5" s="99" t="s">
        <v>294</v>
      </c>
      <c r="C5" s="99"/>
      <c r="D5" s="100" t="s">
        <v>295</v>
      </c>
      <c r="E5" s="101">
        <f>2160000*12</f>
        <v>25920000</v>
      </c>
      <c r="F5" s="102"/>
      <c r="G5" s="103">
        <f t="shared" si="0"/>
        <v>480000</v>
      </c>
      <c r="H5" s="102">
        <f t="shared" si="1"/>
        <v>1800000</v>
      </c>
      <c r="I5" s="102"/>
      <c r="J5" s="104">
        <f>100000*12</f>
        <v>1200000</v>
      </c>
      <c r="K5" s="103">
        <f t="shared" si="2"/>
        <v>882000</v>
      </c>
      <c r="L5" s="102">
        <f t="shared" si="3"/>
        <v>1323000</v>
      </c>
      <c r="M5" s="102">
        <f t="shared" si="4"/>
        <v>191100.00000000003</v>
      </c>
      <c r="N5" s="102">
        <f t="shared" si="5"/>
        <v>147000</v>
      </c>
      <c r="O5" s="143">
        <f t="shared" si="6"/>
        <v>2450000</v>
      </c>
      <c r="Q5" s="129" t="e">
        <f>#REF!-#REF!</f>
        <v>#REF!</v>
      </c>
      <c r="R5" s="130"/>
      <c r="S5" s="130"/>
      <c r="T5" s="130"/>
      <c r="U5" s="130"/>
      <c r="V5" s="130"/>
      <c r="W5" s="130"/>
      <c r="X5" s="130"/>
      <c r="Y5" s="130"/>
      <c r="Z5" s="130"/>
    </row>
    <row r="6" spans="1:26" s="129" customFormat="1" ht="21" customHeight="1">
      <c r="A6" s="142">
        <v>4</v>
      </c>
      <c r="B6" s="99" t="s">
        <v>296</v>
      </c>
      <c r="C6" s="99"/>
      <c r="D6" s="100" t="s">
        <v>297</v>
      </c>
      <c r="E6" s="101">
        <f>1970000*12</f>
        <v>23640000</v>
      </c>
      <c r="F6" s="102"/>
      <c r="G6" s="102"/>
      <c r="H6" s="102">
        <f t="shared" si="1"/>
        <v>1800000</v>
      </c>
      <c r="I6" s="102"/>
      <c r="J6" s="104"/>
      <c r="K6" s="103">
        <f t="shared" si="2"/>
        <v>763200</v>
      </c>
      <c r="L6" s="102">
        <f t="shared" si="3"/>
        <v>1144800</v>
      </c>
      <c r="M6" s="102">
        <f t="shared" si="4"/>
        <v>165360</v>
      </c>
      <c r="N6" s="102">
        <f t="shared" si="5"/>
        <v>127200</v>
      </c>
      <c r="O6" s="143">
        <f t="shared" si="6"/>
        <v>2120000</v>
      </c>
      <c r="Q6" s="129" t="e">
        <f>#REF!-#REF!</f>
        <v>#REF!</v>
      </c>
      <c r="R6" s="130"/>
      <c r="S6" s="130"/>
      <c r="T6" s="130"/>
      <c r="U6" s="130"/>
      <c r="V6" s="130"/>
      <c r="W6" s="130"/>
      <c r="X6" s="130"/>
      <c r="Y6" s="130"/>
      <c r="Z6" s="130"/>
    </row>
    <row r="7" spans="1:26" s="129" customFormat="1" ht="21" customHeight="1">
      <c r="A7" s="142">
        <v>5</v>
      </c>
      <c r="B7" s="99" t="s">
        <v>298</v>
      </c>
      <c r="C7" s="99"/>
      <c r="D7" s="100" t="s">
        <v>299</v>
      </c>
      <c r="E7" s="101">
        <f>1568800*12</f>
        <v>18825600</v>
      </c>
      <c r="F7" s="102"/>
      <c r="G7" s="103">
        <v>480000</v>
      </c>
      <c r="H7" s="102">
        <f t="shared" si="1"/>
        <v>1800000</v>
      </c>
      <c r="I7" s="102"/>
      <c r="J7" s="104">
        <f>100000*12</f>
        <v>1200000</v>
      </c>
      <c r="K7" s="103">
        <f t="shared" si="2"/>
        <v>669168</v>
      </c>
      <c r="L7" s="102">
        <f t="shared" si="3"/>
        <v>1003752</v>
      </c>
      <c r="M7" s="102">
        <f t="shared" si="4"/>
        <v>144986.40000000002</v>
      </c>
      <c r="N7" s="102">
        <f t="shared" si="5"/>
        <v>111528</v>
      </c>
      <c r="O7" s="143">
        <f t="shared" si="6"/>
        <v>1858800</v>
      </c>
      <c r="Q7" s="129" t="e">
        <f>#REF!-#REF!</f>
        <v>#REF!</v>
      </c>
      <c r="R7" s="130"/>
      <c r="S7" s="130"/>
      <c r="T7" s="130"/>
      <c r="U7" s="130"/>
      <c r="V7" s="130"/>
      <c r="W7" s="130"/>
      <c r="X7" s="130"/>
      <c r="Y7" s="130"/>
      <c r="Z7" s="130"/>
    </row>
    <row r="8" spans="1:26" s="129" customFormat="1" ht="21" customHeight="1">
      <c r="A8" s="142">
        <v>6</v>
      </c>
      <c r="B8" s="99" t="s">
        <v>298</v>
      </c>
      <c r="C8" s="99"/>
      <c r="D8" s="105" t="s">
        <v>300</v>
      </c>
      <c r="E8" s="101">
        <f>1568800*12</f>
        <v>18825600</v>
      </c>
      <c r="F8" s="102"/>
      <c r="G8" s="103">
        <v>480000</v>
      </c>
      <c r="H8" s="102">
        <f t="shared" si="1"/>
        <v>1800000</v>
      </c>
      <c r="I8" s="102"/>
      <c r="J8" s="104">
        <f>100000*12</f>
        <v>1200000</v>
      </c>
      <c r="K8" s="103">
        <f t="shared" si="2"/>
        <v>669168</v>
      </c>
      <c r="L8" s="102">
        <f t="shared" si="3"/>
        <v>1003752</v>
      </c>
      <c r="M8" s="102">
        <f t="shared" si="4"/>
        <v>144986.40000000002</v>
      </c>
      <c r="N8" s="102">
        <f t="shared" si="5"/>
        <v>111528</v>
      </c>
      <c r="O8" s="143">
        <f t="shared" si="6"/>
        <v>1858800</v>
      </c>
      <c r="Q8" s="129" t="e">
        <f>#REF!-#REF!</f>
        <v>#REF!</v>
      </c>
      <c r="R8" s="130"/>
      <c r="S8" s="130"/>
      <c r="T8" s="130"/>
      <c r="U8" s="130"/>
      <c r="V8" s="130"/>
      <c r="W8" s="130"/>
      <c r="X8" s="130"/>
      <c r="Y8" s="130"/>
      <c r="Z8" s="130"/>
    </row>
    <row r="9" spans="1:26" s="129" customFormat="1" ht="21" customHeight="1">
      <c r="A9" s="142">
        <v>7</v>
      </c>
      <c r="B9" s="99" t="s">
        <v>301</v>
      </c>
      <c r="C9" s="99"/>
      <c r="D9" s="100" t="s">
        <v>302</v>
      </c>
      <c r="E9" s="101">
        <f>2023330*12</f>
        <v>24279960</v>
      </c>
      <c r="F9" s="102"/>
      <c r="G9" s="103">
        <v>480000</v>
      </c>
      <c r="H9" s="102">
        <f t="shared" si="1"/>
        <v>1800000</v>
      </c>
      <c r="I9" s="102">
        <f>70000*12</f>
        <v>840000</v>
      </c>
      <c r="J9" s="104"/>
      <c r="K9" s="103">
        <f t="shared" si="2"/>
        <v>821998.79999999993</v>
      </c>
      <c r="L9" s="102">
        <f t="shared" si="3"/>
        <v>1232998.2</v>
      </c>
      <c r="M9" s="102">
        <f t="shared" si="4"/>
        <v>178099.74000000002</v>
      </c>
      <c r="N9" s="102">
        <f t="shared" si="5"/>
        <v>136999.79999999999</v>
      </c>
      <c r="O9" s="143">
        <f t="shared" si="6"/>
        <v>2283330</v>
      </c>
      <c r="Q9" s="129" t="e">
        <f>#REF!-#REF!</f>
        <v>#REF!</v>
      </c>
      <c r="R9" s="130"/>
      <c r="S9" s="130"/>
      <c r="T9" s="130"/>
      <c r="U9" s="130"/>
      <c r="V9" s="130"/>
      <c r="W9" s="130"/>
      <c r="X9" s="130"/>
      <c r="Y9" s="130"/>
      <c r="Z9" s="130"/>
    </row>
    <row r="10" spans="1:26" s="129" customFormat="1" ht="21" customHeight="1">
      <c r="A10" s="142">
        <v>8</v>
      </c>
      <c r="B10" s="99" t="s">
        <v>301</v>
      </c>
      <c r="C10" s="99"/>
      <c r="D10" s="100" t="s">
        <v>303</v>
      </c>
      <c r="E10" s="101">
        <f t="shared" ref="E10:E11" si="7">2023330*12</f>
        <v>24279960</v>
      </c>
      <c r="F10" s="102"/>
      <c r="G10" s="102"/>
      <c r="H10" s="102">
        <f t="shared" si="1"/>
        <v>1800000</v>
      </c>
      <c r="I10" s="102"/>
      <c r="J10" s="104"/>
      <c r="K10" s="103">
        <f t="shared" si="2"/>
        <v>782398.79999999993</v>
      </c>
      <c r="L10" s="102">
        <f t="shared" si="3"/>
        <v>1173598.2</v>
      </c>
      <c r="M10" s="102">
        <f t="shared" si="4"/>
        <v>169519.74000000002</v>
      </c>
      <c r="N10" s="102">
        <f t="shared" si="5"/>
        <v>130399.8</v>
      </c>
      <c r="O10" s="143">
        <f t="shared" si="6"/>
        <v>2173330</v>
      </c>
      <c r="Q10" s="129" t="e">
        <f>#REF!-#REF!</f>
        <v>#REF!</v>
      </c>
      <c r="R10" s="130"/>
      <c r="S10" s="130"/>
      <c r="T10" s="130"/>
      <c r="U10" s="130"/>
      <c r="V10" s="130"/>
      <c r="W10" s="130"/>
      <c r="X10" s="130"/>
      <c r="Y10" s="130"/>
      <c r="Z10" s="130"/>
    </row>
    <row r="11" spans="1:26" s="129" customFormat="1" ht="21" customHeight="1">
      <c r="A11" s="142">
        <v>9</v>
      </c>
      <c r="B11" s="99" t="s">
        <v>301</v>
      </c>
      <c r="C11" s="99"/>
      <c r="D11" s="100" t="s">
        <v>304</v>
      </c>
      <c r="E11" s="101">
        <f t="shared" si="7"/>
        <v>24279960</v>
      </c>
      <c r="F11" s="102"/>
      <c r="G11" s="102"/>
      <c r="H11" s="102">
        <f t="shared" si="1"/>
        <v>1800000</v>
      </c>
      <c r="I11" s="102"/>
      <c r="J11" s="104"/>
      <c r="K11" s="103">
        <f t="shared" si="2"/>
        <v>782398.79999999993</v>
      </c>
      <c r="L11" s="102">
        <f t="shared" si="3"/>
        <v>1173598.2</v>
      </c>
      <c r="M11" s="102">
        <f t="shared" si="4"/>
        <v>169519.74000000002</v>
      </c>
      <c r="N11" s="102">
        <f t="shared" si="5"/>
        <v>130399.8</v>
      </c>
      <c r="O11" s="143">
        <f t="shared" si="6"/>
        <v>2173330</v>
      </c>
      <c r="Q11" s="129" t="e">
        <f>#REF!-#REF!</f>
        <v>#REF!</v>
      </c>
      <c r="R11" s="130"/>
      <c r="S11" s="130"/>
      <c r="T11" s="130"/>
      <c r="U11" s="130"/>
      <c r="V11" s="130"/>
      <c r="W11" s="130"/>
      <c r="X11" s="130"/>
      <c r="Y11" s="130"/>
      <c r="Z11" s="130"/>
    </row>
    <row r="12" spans="1:26" s="131" customFormat="1" ht="21" customHeight="1">
      <c r="A12" s="142">
        <v>10</v>
      </c>
      <c r="B12" s="100" t="s">
        <v>305</v>
      </c>
      <c r="C12" s="100"/>
      <c r="D12" s="100" t="s">
        <v>306</v>
      </c>
      <c r="E12" s="103">
        <f>1113750*12</f>
        <v>13365000</v>
      </c>
      <c r="F12" s="102"/>
      <c r="G12" s="103">
        <f>40000*12</f>
        <v>480000</v>
      </c>
      <c r="H12" s="102">
        <f t="shared" si="1"/>
        <v>1800000</v>
      </c>
      <c r="I12" s="102">
        <v>840000</v>
      </c>
      <c r="J12" s="104"/>
      <c r="K12" s="103">
        <f t="shared" si="2"/>
        <v>494550</v>
      </c>
      <c r="L12" s="102">
        <f t="shared" si="3"/>
        <v>741825</v>
      </c>
      <c r="M12" s="102">
        <f t="shared" si="4"/>
        <v>107152.50000000001</v>
      </c>
      <c r="N12" s="102">
        <f t="shared" si="5"/>
        <v>82425</v>
      </c>
      <c r="O12" s="143">
        <f t="shared" si="6"/>
        <v>1373750</v>
      </c>
      <c r="Q12" s="129" t="e">
        <f>#REF!-#REF!</f>
        <v>#REF!</v>
      </c>
      <c r="R12" s="130"/>
      <c r="S12" s="130"/>
      <c r="T12" s="130"/>
      <c r="U12" s="130"/>
      <c r="V12" s="130"/>
      <c r="W12" s="130"/>
      <c r="X12" s="130"/>
      <c r="Y12" s="130"/>
      <c r="Z12" s="130"/>
    </row>
    <row r="13" spans="1:26" s="131" customFormat="1" ht="21" customHeight="1">
      <c r="A13" s="142">
        <v>11</v>
      </c>
      <c r="B13" s="100" t="s">
        <v>305</v>
      </c>
      <c r="C13" s="100"/>
      <c r="D13" s="100" t="s">
        <v>307</v>
      </c>
      <c r="E13" s="103">
        <f>1113750*12</f>
        <v>13365000</v>
      </c>
      <c r="F13" s="102"/>
      <c r="G13" s="102"/>
      <c r="H13" s="102">
        <f t="shared" si="1"/>
        <v>1800000</v>
      </c>
      <c r="I13" s="102"/>
      <c r="J13" s="104"/>
      <c r="K13" s="103">
        <f t="shared" si="2"/>
        <v>454950</v>
      </c>
      <c r="L13" s="102">
        <f t="shared" si="3"/>
        <v>682425</v>
      </c>
      <c r="M13" s="102">
        <f t="shared" si="4"/>
        <v>98572.500000000015</v>
      </c>
      <c r="N13" s="102">
        <f t="shared" si="5"/>
        <v>75825</v>
      </c>
      <c r="O13" s="143">
        <f t="shared" si="6"/>
        <v>1263750</v>
      </c>
      <c r="Q13" s="129" t="e">
        <f>#REF!-#REF!</f>
        <v>#REF!</v>
      </c>
      <c r="R13" s="130"/>
      <c r="S13" s="130"/>
      <c r="T13" s="130"/>
      <c r="U13" s="130"/>
      <c r="V13" s="130"/>
      <c r="W13" s="130"/>
      <c r="X13" s="130"/>
      <c r="Y13" s="130"/>
      <c r="Z13" s="130"/>
    </row>
    <row r="14" spans="1:26" s="129" customFormat="1" ht="21" customHeight="1">
      <c r="A14" s="142">
        <v>12</v>
      </c>
      <c r="B14" s="106" t="s">
        <v>308</v>
      </c>
      <c r="C14" s="106"/>
      <c r="D14" s="100" t="s">
        <v>309</v>
      </c>
      <c r="E14" s="101">
        <f>2130000*12</f>
        <v>25560000</v>
      </c>
      <c r="F14" s="102"/>
      <c r="G14" s="102"/>
      <c r="H14" s="102">
        <f t="shared" si="1"/>
        <v>1800000</v>
      </c>
      <c r="I14" s="102"/>
      <c r="J14" s="104">
        <v>1200000</v>
      </c>
      <c r="K14" s="103">
        <f t="shared" si="2"/>
        <v>856800</v>
      </c>
      <c r="L14" s="102">
        <f t="shared" si="3"/>
        <v>1285200</v>
      </c>
      <c r="M14" s="102">
        <f t="shared" si="4"/>
        <v>185640.00000000003</v>
      </c>
      <c r="N14" s="102">
        <f t="shared" si="5"/>
        <v>142800</v>
      </c>
      <c r="O14" s="143">
        <f t="shared" si="6"/>
        <v>2380000</v>
      </c>
      <c r="Q14" s="129" t="e">
        <f>#REF!-#REF!</f>
        <v>#REF!</v>
      </c>
      <c r="R14" s="130"/>
      <c r="S14" s="130"/>
      <c r="T14" s="130"/>
      <c r="U14" s="130"/>
      <c r="V14" s="130"/>
      <c r="W14" s="130"/>
      <c r="X14" s="130"/>
      <c r="Y14" s="130"/>
      <c r="Z14" s="130"/>
    </row>
    <row r="15" spans="1:26" s="129" customFormat="1" ht="21" customHeight="1">
      <c r="A15" s="142">
        <v>13</v>
      </c>
      <c r="B15" s="99" t="s">
        <v>310</v>
      </c>
      <c r="C15" s="99"/>
      <c r="D15" s="100" t="s">
        <v>311</v>
      </c>
      <c r="E15" s="103">
        <f>1783380*12</f>
        <v>21400560</v>
      </c>
      <c r="F15" s="102"/>
      <c r="G15" s="102"/>
      <c r="H15" s="102">
        <f t="shared" si="1"/>
        <v>1800000</v>
      </c>
      <c r="I15" s="102"/>
      <c r="J15" s="104">
        <v>2400000</v>
      </c>
      <c r="K15" s="103">
        <f t="shared" si="2"/>
        <v>768016.79999999993</v>
      </c>
      <c r="L15" s="102">
        <f t="shared" si="3"/>
        <v>1152025.2</v>
      </c>
      <c r="M15" s="102">
        <f t="shared" si="4"/>
        <v>166403.64000000001</v>
      </c>
      <c r="N15" s="102">
        <f t="shared" si="5"/>
        <v>128002.8</v>
      </c>
      <c r="O15" s="143">
        <f t="shared" si="6"/>
        <v>2133380</v>
      </c>
      <c r="Q15" s="129" t="e">
        <f>#REF!-#REF!</f>
        <v>#REF!</v>
      </c>
      <c r="R15" s="130"/>
      <c r="S15" s="130"/>
      <c r="T15" s="130"/>
      <c r="U15" s="130"/>
      <c r="V15" s="130"/>
      <c r="W15" s="130"/>
      <c r="X15" s="130"/>
      <c r="Y15" s="130"/>
      <c r="Z15" s="130"/>
    </row>
    <row r="16" spans="1:26" s="129" customFormat="1" ht="21" customHeight="1">
      <c r="A16" s="142">
        <v>14</v>
      </c>
      <c r="B16" s="100" t="s">
        <v>310</v>
      </c>
      <c r="C16" s="100"/>
      <c r="D16" s="100" t="s">
        <v>312</v>
      </c>
      <c r="E16" s="103">
        <f t="shared" ref="E16:E17" si="8">1783380*12</f>
        <v>21400560</v>
      </c>
      <c r="F16" s="102"/>
      <c r="G16" s="102"/>
      <c r="H16" s="102">
        <f t="shared" si="1"/>
        <v>1800000</v>
      </c>
      <c r="I16" s="102"/>
      <c r="J16" s="104">
        <v>2400000</v>
      </c>
      <c r="K16" s="103">
        <f t="shared" si="2"/>
        <v>768016.79999999993</v>
      </c>
      <c r="L16" s="102">
        <f t="shared" si="3"/>
        <v>1152025.2</v>
      </c>
      <c r="M16" s="102">
        <f t="shared" si="4"/>
        <v>166403.64000000001</v>
      </c>
      <c r="N16" s="102">
        <f t="shared" si="5"/>
        <v>128002.8</v>
      </c>
      <c r="O16" s="143">
        <f t="shared" si="6"/>
        <v>2133380</v>
      </c>
      <c r="Q16" s="129" t="e">
        <f>#REF!-#REF!</f>
        <v>#REF!</v>
      </c>
      <c r="R16" s="130"/>
      <c r="S16" s="130"/>
      <c r="T16" s="130"/>
      <c r="U16" s="130"/>
      <c r="V16" s="130"/>
      <c r="W16" s="130"/>
      <c r="X16" s="130"/>
      <c r="Y16" s="130"/>
      <c r="Z16" s="130"/>
    </row>
    <row r="17" spans="1:26" s="129" customFormat="1" ht="21" customHeight="1">
      <c r="A17" s="142">
        <v>15</v>
      </c>
      <c r="B17" s="100" t="s">
        <v>310</v>
      </c>
      <c r="C17" s="100"/>
      <c r="D17" s="100" t="s">
        <v>313</v>
      </c>
      <c r="E17" s="103">
        <f t="shared" si="8"/>
        <v>21400560</v>
      </c>
      <c r="F17" s="102"/>
      <c r="G17" s="102">
        <v>480000</v>
      </c>
      <c r="H17" s="102">
        <f t="shared" si="1"/>
        <v>1800000</v>
      </c>
      <c r="I17" s="102"/>
      <c r="J17" s="104">
        <v>2400000</v>
      </c>
      <c r="K17" s="103">
        <f t="shared" si="2"/>
        <v>782416.79999999993</v>
      </c>
      <c r="L17" s="102">
        <f t="shared" si="3"/>
        <v>1173625.2</v>
      </c>
      <c r="M17" s="102">
        <f t="shared" si="4"/>
        <v>169523.64</v>
      </c>
      <c r="N17" s="102">
        <f t="shared" si="5"/>
        <v>130402.8</v>
      </c>
      <c r="O17" s="143">
        <f t="shared" si="6"/>
        <v>2173380</v>
      </c>
      <c r="Q17" s="129" t="e">
        <f>#REF!-#REF!</f>
        <v>#REF!</v>
      </c>
      <c r="R17" s="130"/>
      <c r="S17" s="130"/>
      <c r="T17" s="130"/>
      <c r="U17" s="130"/>
      <c r="V17" s="130"/>
      <c r="W17" s="130"/>
      <c r="X17" s="130"/>
      <c r="Y17" s="130"/>
      <c r="Z17" s="130"/>
    </row>
    <row r="18" spans="1:26" s="129" customFormat="1" ht="21" customHeight="1">
      <c r="A18" s="142">
        <v>16</v>
      </c>
      <c r="B18" s="99" t="s">
        <v>314</v>
      </c>
      <c r="C18" s="99"/>
      <c r="D18" s="100" t="s">
        <v>315</v>
      </c>
      <c r="E18" s="103">
        <f>1745150*12</f>
        <v>20941800</v>
      </c>
      <c r="F18" s="102"/>
      <c r="G18" s="102"/>
      <c r="H18" s="102">
        <f t="shared" si="1"/>
        <v>1800000</v>
      </c>
      <c r="I18" s="102"/>
      <c r="J18" s="104"/>
      <c r="K18" s="103">
        <f t="shared" si="2"/>
        <v>682254</v>
      </c>
      <c r="L18" s="102">
        <f t="shared" si="3"/>
        <v>1023381</v>
      </c>
      <c r="M18" s="102">
        <f t="shared" si="4"/>
        <v>147821.70000000001</v>
      </c>
      <c r="N18" s="102">
        <f t="shared" si="5"/>
        <v>113709</v>
      </c>
      <c r="O18" s="143">
        <f t="shared" si="6"/>
        <v>1895150</v>
      </c>
      <c r="Q18" s="129" t="e">
        <f>#REF!-#REF!</f>
        <v>#REF!</v>
      </c>
      <c r="R18" s="130"/>
      <c r="S18" s="130"/>
      <c r="T18" s="130"/>
      <c r="U18" s="130"/>
      <c r="V18" s="130"/>
      <c r="W18" s="130"/>
      <c r="X18" s="130"/>
      <c r="Y18" s="130"/>
      <c r="Z18" s="130"/>
    </row>
    <row r="19" spans="1:26" s="129" customFormat="1" ht="21" customHeight="1">
      <c r="A19" s="142">
        <v>17</v>
      </c>
      <c r="B19" s="107" t="s">
        <v>316</v>
      </c>
      <c r="C19" s="107"/>
      <c r="D19" s="108" t="s">
        <v>317</v>
      </c>
      <c r="E19" s="103">
        <f>2110000*12</f>
        <v>25320000</v>
      </c>
      <c r="F19" s="109">
        <f>60000*12</f>
        <v>720000</v>
      </c>
      <c r="G19" s="103">
        <v>480000</v>
      </c>
      <c r="H19" s="102">
        <f t="shared" si="1"/>
        <v>1800000</v>
      </c>
      <c r="I19" s="102">
        <v>840000</v>
      </c>
      <c r="J19" s="104">
        <v>2002320</v>
      </c>
      <c r="K19" s="103">
        <f t="shared" si="2"/>
        <v>934869.6</v>
      </c>
      <c r="L19" s="102">
        <f t="shared" si="3"/>
        <v>1402304.4</v>
      </c>
      <c r="M19" s="102">
        <f t="shared" si="4"/>
        <v>202555.08000000002</v>
      </c>
      <c r="N19" s="102">
        <f t="shared" si="5"/>
        <v>155811.6</v>
      </c>
      <c r="O19" s="143">
        <f t="shared" si="6"/>
        <v>2596860</v>
      </c>
      <c r="Q19" s="129" t="e">
        <f>#REF!-#REF!</f>
        <v>#REF!</v>
      </c>
      <c r="R19" s="130"/>
      <c r="S19" s="130"/>
      <c r="T19" s="130"/>
      <c r="U19" s="130"/>
      <c r="V19" s="130"/>
      <c r="W19" s="130"/>
      <c r="X19" s="130"/>
      <c r="Y19" s="130"/>
      <c r="Z19" s="130"/>
    </row>
    <row r="20" spans="1:26" s="129" customFormat="1" ht="21" customHeight="1">
      <c r="A20" s="142">
        <v>18</v>
      </c>
      <c r="B20" s="99" t="s">
        <v>318</v>
      </c>
      <c r="C20" s="99"/>
      <c r="D20" s="110" t="s">
        <v>319</v>
      </c>
      <c r="E20" s="103">
        <f>2110000*12</f>
        <v>25320000</v>
      </c>
      <c r="F20" s="109">
        <f t="shared" ref="F20:F48" si="9">60000*12</f>
        <v>720000</v>
      </c>
      <c r="G20" s="103">
        <v>480000</v>
      </c>
      <c r="H20" s="102">
        <f t="shared" si="1"/>
        <v>1800000</v>
      </c>
      <c r="I20" s="102">
        <v>840000</v>
      </c>
      <c r="J20" s="104">
        <f t="shared" ref="J20:J48" si="10">166660*12</f>
        <v>1999920</v>
      </c>
      <c r="K20" s="103">
        <f t="shared" si="2"/>
        <v>934797.6</v>
      </c>
      <c r="L20" s="102">
        <f t="shared" si="3"/>
        <v>1402196.4</v>
      </c>
      <c r="M20" s="102">
        <f t="shared" si="4"/>
        <v>202539.48</v>
      </c>
      <c r="N20" s="102">
        <f t="shared" si="5"/>
        <v>155799.6</v>
      </c>
      <c r="O20" s="143">
        <f t="shared" si="6"/>
        <v>2596660</v>
      </c>
      <c r="Q20" s="129" t="e">
        <f>#REF!-#REF!</f>
        <v>#REF!</v>
      </c>
      <c r="R20" s="130"/>
      <c r="S20" s="130"/>
      <c r="T20" s="130"/>
      <c r="U20" s="130"/>
      <c r="V20" s="130"/>
      <c r="W20" s="130"/>
      <c r="X20" s="130"/>
      <c r="Y20" s="130"/>
      <c r="Z20" s="130"/>
    </row>
    <row r="21" spans="1:26" s="114" customFormat="1" ht="21" customHeight="1">
      <c r="A21" s="142">
        <v>19</v>
      </c>
      <c r="B21" s="111" t="s">
        <v>318</v>
      </c>
      <c r="C21" s="111"/>
      <c r="D21" s="112" t="s">
        <v>320</v>
      </c>
      <c r="E21" s="113">
        <f>1775000*12</f>
        <v>21300000</v>
      </c>
      <c r="F21" s="109">
        <f t="shared" si="9"/>
        <v>720000</v>
      </c>
      <c r="G21" s="103">
        <v>480000</v>
      </c>
      <c r="H21" s="102">
        <f t="shared" si="1"/>
        <v>1800000</v>
      </c>
      <c r="I21" s="102">
        <v>840000</v>
      </c>
      <c r="J21" s="104">
        <f t="shared" si="10"/>
        <v>1999920</v>
      </c>
      <c r="K21" s="103">
        <f t="shared" si="2"/>
        <v>814197.6</v>
      </c>
      <c r="L21" s="102">
        <f t="shared" si="3"/>
        <v>1221296.3999999999</v>
      </c>
      <c r="M21" s="102">
        <f t="shared" si="4"/>
        <v>176409.48</v>
      </c>
      <c r="N21" s="102">
        <f t="shared" si="5"/>
        <v>135699.6</v>
      </c>
      <c r="O21" s="143">
        <f t="shared" si="6"/>
        <v>2261660</v>
      </c>
      <c r="Q21" s="129" t="e">
        <f>#REF!-#REF!</f>
        <v>#REF!</v>
      </c>
      <c r="R21" s="115"/>
      <c r="S21" s="115"/>
      <c r="T21" s="115"/>
      <c r="U21" s="115"/>
      <c r="V21" s="115"/>
      <c r="W21" s="115"/>
      <c r="X21" s="115"/>
      <c r="Y21" s="115"/>
      <c r="Z21" s="115"/>
    </row>
    <row r="22" spans="1:26" s="114" customFormat="1" ht="21" customHeight="1">
      <c r="A22" s="142">
        <v>20</v>
      </c>
      <c r="B22" s="111" t="s">
        <v>318</v>
      </c>
      <c r="C22" s="111"/>
      <c r="D22" s="112" t="s">
        <v>321</v>
      </c>
      <c r="E22" s="113">
        <f t="shared" ref="E22:E24" si="11">1775000*12</f>
        <v>21300000</v>
      </c>
      <c r="F22" s="109">
        <f t="shared" si="9"/>
        <v>720000</v>
      </c>
      <c r="G22" s="102"/>
      <c r="H22" s="102">
        <f t="shared" si="1"/>
        <v>1800000</v>
      </c>
      <c r="I22" s="102">
        <v>840000</v>
      </c>
      <c r="J22" s="104">
        <f t="shared" si="10"/>
        <v>1999920</v>
      </c>
      <c r="K22" s="103">
        <f t="shared" si="2"/>
        <v>799797.6</v>
      </c>
      <c r="L22" s="102">
        <f t="shared" si="3"/>
        <v>1199696.3999999999</v>
      </c>
      <c r="M22" s="102">
        <f t="shared" si="4"/>
        <v>173289.48</v>
      </c>
      <c r="N22" s="102">
        <f t="shared" si="5"/>
        <v>133299.6</v>
      </c>
      <c r="O22" s="143">
        <f t="shared" si="6"/>
        <v>2221660</v>
      </c>
      <c r="Q22" s="129" t="e">
        <f>#REF!-#REF!</f>
        <v>#REF!</v>
      </c>
      <c r="R22" s="115"/>
      <c r="S22" s="115"/>
      <c r="T22" s="115"/>
      <c r="U22" s="115"/>
      <c r="V22" s="115"/>
      <c r="W22" s="115"/>
      <c r="X22" s="115"/>
      <c r="Y22" s="115"/>
      <c r="Z22" s="115"/>
    </row>
    <row r="23" spans="1:26" s="114" customFormat="1" ht="21" customHeight="1">
      <c r="A23" s="142">
        <v>21</v>
      </c>
      <c r="B23" s="111" t="s">
        <v>318</v>
      </c>
      <c r="C23" s="111"/>
      <c r="D23" s="112" t="s">
        <v>322</v>
      </c>
      <c r="E23" s="113">
        <f t="shared" si="11"/>
        <v>21300000</v>
      </c>
      <c r="F23" s="109">
        <f t="shared" si="9"/>
        <v>720000</v>
      </c>
      <c r="G23" s="102"/>
      <c r="H23" s="102">
        <f t="shared" si="1"/>
        <v>1800000</v>
      </c>
      <c r="I23" s="102">
        <v>840000</v>
      </c>
      <c r="J23" s="104">
        <f t="shared" si="10"/>
        <v>1999920</v>
      </c>
      <c r="K23" s="103">
        <f t="shared" si="2"/>
        <v>799797.6</v>
      </c>
      <c r="L23" s="102">
        <f t="shared" si="3"/>
        <v>1199696.3999999999</v>
      </c>
      <c r="M23" s="102">
        <f t="shared" si="4"/>
        <v>173289.48</v>
      </c>
      <c r="N23" s="102">
        <f t="shared" si="5"/>
        <v>133299.6</v>
      </c>
      <c r="O23" s="143">
        <f t="shared" si="6"/>
        <v>2221660</v>
      </c>
      <c r="Q23" s="129" t="e">
        <f>#REF!-#REF!</f>
        <v>#REF!</v>
      </c>
      <c r="R23" s="115"/>
      <c r="S23" s="115"/>
      <c r="T23" s="115"/>
      <c r="U23" s="115"/>
      <c r="V23" s="115"/>
      <c r="W23" s="115"/>
      <c r="X23" s="115"/>
      <c r="Y23" s="115"/>
      <c r="Z23" s="115"/>
    </row>
    <row r="24" spans="1:26" s="114" customFormat="1" ht="21" customHeight="1">
      <c r="A24" s="142">
        <v>22</v>
      </c>
      <c r="B24" s="111" t="s">
        <v>316</v>
      </c>
      <c r="C24" s="111"/>
      <c r="D24" s="116" t="s">
        <v>323</v>
      </c>
      <c r="E24" s="113">
        <f t="shared" si="11"/>
        <v>21300000</v>
      </c>
      <c r="F24" s="109">
        <f t="shared" si="9"/>
        <v>720000</v>
      </c>
      <c r="G24" s="117"/>
      <c r="H24" s="102">
        <f t="shared" si="1"/>
        <v>1800000</v>
      </c>
      <c r="I24" s="109"/>
      <c r="J24" s="104">
        <f t="shared" si="10"/>
        <v>1999920</v>
      </c>
      <c r="K24" s="103">
        <f t="shared" si="2"/>
        <v>774597.6</v>
      </c>
      <c r="L24" s="102">
        <f t="shared" si="3"/>
        <v>1161896.3999999999</v>
      </c>
      <c r="M24" s="102">
        <f t="shared" si="4"/>
        <v>167829.48</v>
      </c>
      <c r="N24" s="102">
        <f t="shared" si="5"/>
        <v>129099.6</v>
      </c>
      <c r="O24" s="143">
        <f t="shared" si="6"/>
        <v>2151660</v>
      </c>
      <c r="Q24" s="129" t="e">
        <f>#REF!-#REF!</f>
        <v>#REF!</v>
      </c>
      <c r="R24" s="115"/>
      <c r="S24" s="115"/>
      <c r="T24" s="115"/>
      <c r="U24" s="115"/>
      <c r="V24" s="115"/>
      <c r="W24" s="115"/>
      <c r="X24" s="115"/>
      <c r="Y24" s="115"/>
      <c r="Z24" s="115"/>
    </row>
    <row r="25" spans="1:26" s="114" customFormat="1" ht="21" customHeight="1">
      <c r="A25" s="142">
        <v>23</v>
      </c>
      <c r="B25" s="111" t="s">
        <v>318</v>
      </c>
      <c r="C25" s="111"/>
      <c r="D25" s="118" t="s">
        <v>324</v>
      </c>
      <c r="E25" s="113">
        <f>1770000*12</f>
        <v>21240000</v>
      </c>
      <c r="F25" s="109">
        <f t="shared" si="9"/>
        <v>720000</v>
      </c>
      <c r="G25" s="117"/>
      <c r="H25" s="102">
        <f t="shared" si="1"/>
        <v>1800000</v>
      </c>
      <c r="I25" s="109">
        <v>840000</v>
      </c>
      <c r="J25" s="104">
        <f t="shared" si="10"/>
        <v>1999920</v>
      </c>
      <c r="K25" s="103">
        <f t="shared" si="2"/>
        <v>797997.6</v>
      </c>
      <c r="L25" s="102">
        <f t="shared" si="3"/>
        <v>1196996.3999999999</v>
      </c>
      <c r="M25" s="102">
        <f t="shared" si="4"/>
        <v>172899.48</v>
      </c>
      <c r="N25" s="102">
        <f t="shared" si="5"/>
        <v>132999.6</v>
      </c>
      <c r="O25" s="143">
        <f t="shared" si="6"/>
        <v>2216660</v>
      </c>
      <c r="Q25" s="129" t="e">
        <f>#REF!-#REF!</f>
        <v>#REF!</v>
      </c>
      <c r="R25" s="115"/>
      <c r="S25" s="115"/>
      <c r="T25" s="115"/>
      <c r="U25" s="115"/>
      <c r="V25" s="115"/>
      <c r="W25" s="115"/>
      <c r="X25" s="115"/>
      <c r="Y25" s="115"/>
      <c r="Z25" s="115"/>
    </row>
    <row r="26" spans="1:26" s="132" customFormat="1" ht="21" customHeight="1">
      <c r="A26" s="142">
        <v>24</v>
      </c>
      <c r="B26" s="111" t="s">
        <v>318</v>
      </c>
      <c r="C26" s="111"/>
      <c r="D26" s="118" t="s">
        <v>325</v>
      </c>
      <c r="E26" s="113">
        <f>1770000*12</f>
        <v>21240000</v>
      </c>
      <c r="F26" s="109">
        <f t="shared" si="9"/>
        <v>720000</v>
      </c>
      <c r="G26" s="109">
        <v>480000</v>
      </c>
      <c r="H26" s="102">
        <f t="shared" si="1"/>
        <v>1800000</v>
      </c>
      <c r="I26" s="109"/>
      <c r="J26" s="104">
        <f t="shared" si="10"/>
        <v>1999920</v>
      </c>
      <c r="K26" s="103">
        <f t="shared" si="2"/>
        <v>787197.6</v>
      </c>
      <c r="L26" s="102">
        <f t="shared" si="3"/>
        <v>1180796.3999999999</v>
      </c>
      <c r="M26" s="102">
        <f t="shared" si="4"/>
        <v>170559.48</v>
      </c>
      <c r="N26" s="102">
        <f t="shared" si="5"/>
        <v>131199.6</v>
      </c>
      <c r="O26" s="143">
        <f t="shared" si="6"/>
        <v>2186660</v>
      </c>
      <c r="Q26" s="129" t="e">
        <f>#REF!-#REF!</f>
        <v>#REF!</v>
      </c>
      <c r="R26" s="133"/>
      <c r="S26" s="133"/>
      <c r="T26" s="133"/>
      <c r="U26" s="133"/>
      <c r="V26" s="133"/>
      <c r="W26" s="133"/>
      <c r="X26" s="133"/>
      <c r="Y26" s="133"/>
      <c r="Z26" s="133"/>
    </row>
    <row r="27" spans="1:26" s="132" customFormat="1" ht="21" customHeight="1">
      <c r="A27" s="142">
        <v>25</v>
      </c>
      <c r="B27" s="111" t="s">
        <v>316</v>
      </c>
      <c r="C27" s="111"/>
      <c r="D27" s="116" t="s">
        <v>326</v>
      </c>
      <c r="E27" s="113">
        <f>1765000*12</f>
        <v>21180000</v>
      </c>
      <c r="F27" s="109">
        <f t="shared" si="9"/>
        <v>720000</v>
      </c>
      <c r="G27" s="102"/>
      <c r="H27" s="102">
        <f t="shared" si="1"/>
        <v>1800000</v>
      </c>
      <c r="I27" s="109"/>
      <c r="J27" s="104">
        <f t="shared" si="10"/>
        <v>1999920</v>
      </c>
      <c r="K27" s="103">
        <f t="shared" si="2"/>
        <v>770997.6</v>
      </c>
      <c r="L27" s="102">
        <f t="shared" si="3"/>
        <v>1156496.3999999999</v>
      </c>
      <c r="M27" s="102">
        <f t="shared" si="4"/>
        <v>167049.48000000001</v>
      </c>
      <c r="N27" s="102">
        <f t="shared" si="5"/>
        <v>128499.6</v>
      </c>
      <c r="O27" s="143">
        <f t="shared" si="6"/>
        <v>2141660</v>
      </c>
      <c r="Q27" s="129" t="e">
        <f>#REF!-#REF!</f>
        <v>#REF!</v>
      </c>
      <c r="R27" s="133"/>
      <c r="S27" s="133"/>
      <c r="T27" s="133"/>
      <c r="U27" s="133"/>
      <c r="V27" s="133"/>
      <c r="W27" s="133"/>
      <c r="X27" s="133"/>
      <c r="Y27" s="133"/>
      <c r="Z27" s="133"/>
    </row>
    <row r="28" spans="1:26" s="132" customFormat="1" ht="21" customHeight="1">
      <c r="A28" s="142">
        <v>26</v>
      </c>
      <c r="B28" s="111" t="s">
        <v>316</v>
      </c>
      <c r="C28" s="111"/>
      <c r="D28" s="116" t="s">
        <v>327</v>
      </c>
      <c r="E28" s="113">
        <f>1860000*12</f>
        <v>22320000</v>
      </c>
      <c r="F28" s="109">
        <f t="shared" si="9"/>
        <v>720000</v>
      </c>
      <c r="G28" s="102"/>
      <c r="H28" s="102">
        <f t="shared" si="1"/>
        <v>1800000</v>
      </c>
      <c r="I28" s="109"/>
      <c r="J28" s="104">
        <f t="shared" si="10"/>
        <v>1999920</v>
      </c>
      <c r="K28" s="103">
        <f t="shared" si="2"/>
        <v>805197.6</v>
      </c>
      <c r="L28" s="102">
        <f t="shared" si="3"/>
        <v>1207796.3999999999</v>
      </c>
      <c r="M28" s="102">
        <f t="shared" si="4"/>
        <v>174459.48</v>
      </c>
      <c r="N28" s="102">
        <f t="shared" si="5"/>
        <v>134199.6</v>
      </c>
      <c r="O28" s="143">
        <f t="shared" si="6"/>
        <v>2236660</v>
      </c>
      <c r="Q28" s="129" t="e">
        <f>#REF!-#REF!</f>
        <v>#REF!</v>
      </c>
      <c r="R28" s="133"/>
      <c r="S28" s="133"/>
      <c r="T28" s="133"/>
      <c r="U28" s="133"/>
      <c r="V28" s="133"/>
      <c r="W28" s="133"/>
      <c r="X28" s="133"/>
      <c r="Y28" s="133"/>
      <c r="Z28" s="133"/>
    </row>
    <row r="29" spans="1:26" s="132" customFormat="1" ht="21" customHeight="1">
      <c r="A29" s="142">
        <v>27</v>
      </c>
      <c r="B29" s="111" t="s">
        <v>316</v>
      </c>
      <c r="C29" s="111"/>
      <c r="D29" s="116" t="s">
        <v>328</v>
      </c>
      <c r="E29" s="113">
        <f>1750000*12</f>
        <v>21000000</v>
      </c>
      <c r="F29" s="109">
        <f t="shared" si="9"/>
        <v>720000</v>
      </c>
      <c r="G29" s="109"/>
      <c r="H29" s="102">
        <f t="shared" si="1"/>
        <v>1800000</v>
      </c>
      <c r="I29" s="109"/>
      <c r="J29" s="104">
        <f t="shared" si="10"/>
        <v>1999920</v>
      </c>
      <c r="K29" s="103">
        <f t="shared" si="2"/>
        <v>765597.6</v>
      </c>
      <c r="L29" s="102">
        <f t="shared" si="3"/>
        <v>1148396.3999999999</v>
      </c>
      <c r="M29" s="102">
        <f t="shared" si="4"/>
        <v>165879.48000000001</v>
      </c>
      <c r="N29" s="102">
        <f t="shared" si="5"/>
        <v>127599.6</v>
      </c>
      <c r="O29" s="143">
        <f t="shared" si="6"/>
        <v>2126660</v>
      </c>
      <c r="Q29" s="129" t="e">
        <f>#REF!-#REF!</f>
        <v>#REF!</v>
      </c>
      <c r="R29" s="133"/>
      <c r="S29" s="133"/>
      <c r="T29" s="133"/>
      <c r="U29" s="133"/>
      <c r="V29" s="133"/>
      <c r="W29" s="133"/>
      <c r="X29" s="133"/>
      <c r="Y29" s="133"/>
      <c r="Z29" s="133"/>
    </row>
    <row r="30" spans="1:26" s="132" customFormat="1" ht="21" customHeight="1">
      <c r="A30" s="142">
        <v>28</v>
      </c>
      <c r="B30" s="111" t="s">
        <v>316</v>
      </c>
      <c r="C30" s="111"/>
      <c r="D30" s="116" t="s">
        <v>329</v>
      </c>
      <c r="E30" s="113">
        <f t="shared" ref="E30:E35" si="12">1750000*12</f>
        <v>21000000</v>
      </c>
      <c r="F30" s="109">
        <f t="shared" si="9"/>
        <v>720000</v>
      </c>
      <c r="G30" s="109"/>
      <c r="H30" s="102">
        <f t="shared" si="1"/>
        <v>1800000</v>
      </c>
      <c r="I30" s="109"/>
      <c r="J30" s="104">
        <f t="shared" si="10"/>
        <v>1999920</v>
      </c>
      <c r="K30" s="103">
        <f t="shared" si="2"/>
        <v>765597.6</v>
      </c>
      <c r="L30" s="102">
        <f t="shared" si="3"/>
        <v>1148396.3999999999</v>
      </c>
      <c r="M30" s="102">
        <f t="shared" si="4"/>
        <v>165879.48000000001</v>
      </c>
      <c r="N30" s="102">
        <f t="shared" si="5"/>
        <v>127599.6</v>
      </c>
      <c r="O30" s="143">
        <f t="shared" si="6"/>
        <v>2126660</v>
      </c>
      <c r="Q30" s="129" t="e">
        <f>#REF!-#REF!</f>
        <v>#REF!</v>
      </c>
      <c r="R30" s="133"/>
      <c r="S30" s="133"/>
      <c r="T30" s="133"/>
      <c r="U30" s="133"/>
      <c r="V30" s="133"/>
      <c r="W30" s="133"/>
      <c r="X30" s="133"/>
      <c r="Y30" s="133"/>
      <c r="Z30" s="133"/>
    </row>
    <row r="31" spans="1:26" s="132" customFormat="1" ht="21" customHeight="1">
      <c r="A31" s="142">
        <v>29</v>
      </c>
      <c r="B31" s="111" t="s">
        <v>316</v>
      </c>
      <c r="C31" s="111"/>
      <c r="D31" s="116" t="s">
        <v>330</v>
      </c>
      <c r="E31" s="113">
        <f t="shared" si="12"/>
        <v>21000000</v>
      </c>
      <c r="F31" s="109">
        <f t="shared" si="9"/>
        <v>720000</v>
      </c>
      <c r="G31" s="119"/>
      <c r="H31" s="102">
        <f t="shared" si="1"/>
        <v>1800000</v>
      </c>
      <c r="I31" s="109"/>
      <c r="J31" s="104">
        <f t="shared" si="10"/>
        <v>1999920</v>
      </c>
      <c r="K31" s="103">
        <f t="shared" si="2"/>
        <v>765597.6</v>
      </c>
      <c r="L31" s="102">
        <f t="shared" si="3"/>
        <v>1148396.3999999999</v>
      </c>
      <c r="M31" s="102">
        <f t="shared" si="4"/>
        <v>165879.48000000001</v>
      </c>
      <c r="N31" s="102">
        <f t="shared" si="5"/>
        <v>127599.6</v>
      </c>
      <c r="O31" s="143">
        <f t="shared" si="6"/>
        <v>2126660</v>
      </c>
      <c r="Q31" s="129" t="e">
        <f>#REF!-#REF!</f>
        <v>#REF!</v>
      </c>
      <c r="R31" s="133"/>
      <c r="S31" s="133"/>
      <c r="T31" s="133"/>
      <c r="U31" s="133"/>
      <c r="V31" s="133"/>
      <c r="W31" s="133"/>
      <c r="X31" s="133"/>
      <c r="Y31" s="133"/>
      <c r="Z31" s="133"/>
    </row>
    <row r="32" spans="1:26" s="132" customFormat="1" ht="21" customHeight="1">
      <c r="A32" s="142">
        <v>30</v>
      </c>
      <c r="B32" s="111" t="s">
        <v>316</v>
      </c>
      <c r="C32" s="111"/>
      <c r="D32" s="116" t="s">
        <v>331</v>
      </c>
      <c r="E32" s="113">
        <f t="shared" si="12"/>
        <v>21000000</v>
      </c>
      <c r="F32" s="109">
        <f t="shared" si="9"/>
        <v>720000</v>
      </c>
      <c r="G32" s="120"/>
      <c r="H32" s="102">
        <f t="shared" si="1"/>
        <v>1800000</v>
      </c>
      <c r="I32" s="109"/>
      <c r="J32" s="104">
        <f t="shared" si="10"/>
        <v>1999920</v>
      </c>
      <c r="K32" s="103">
        <f t="shared" si="2"/>
        <v>765597.6</v>
      </c>
      <c r="L32" s="102">
        <f t="shared" si="3"/>
        <v>1148396.3999999999</v>
      </c>
      <c r="M32" s="102">
        <f t="shared" si="4"/>
        <v>165879.48000000001</v>
      </c>
      <c r="N32" s="102">
        <f t="shared" si="5"/>
        <v>127599.6</v>
      </c>
      <c r="O32" s="143">
        <f t="shared" si="6"/>
        <v>2126660</v>
      </c>
      <c r="Q32" s="129" t="e">
        <f>#REF!-#REF!</f>
        <v>#REF!</v>
      </c>
      <c r="R32" s="133"/>
      <c r="S32" s="133"/>
      <c r="T32" s="133"/>
      <c r="U32" s="133"/>
      <c r="V32" s="133"/>
      <c r="W32" s="133"/>
      <c r="X32" s="133"/>
      <c r="Y32" s="133"/>
      <c r="Z32" s="133"/>
    </row>
    <row r="33" spans="1:26" s="132" customFormat="1" ht="21" customHeight="1">
      <c r="A33" s="142">
        <v>31</v>
      </c>
      <c r="B33" s="111" t="s">
        <v>316</v>
      </c>
      <c r="C33" s="111"/>
      <c r="D33" s="116" t="s">
        <v>332</v>
      </c>
      <c r="E33" s="113">
        <f t="shared" si="12"/>
        <v>21000000</v>
      </c>
      <c r="F33" s="109">
        <f t="shared" si="9"/>
        <v>720000</v>
      </c>
      <c r="G33" s="120"/>
      <c r="H33" s="102">
        <f t="shared" si="1"/>
        <v>1800000</v>
      </c>
      <c r="I33" s="109"/>
      <c r="J33" s="104">
        <f t="shared" si="10"/>
        <v>1999920</v>
      </c>
      <c r="K33" s="103">
        <f t="shared" si="2"/>
        <v>765597.6</v>
      </c>
      <c r="L33" s="102">
        <f t="shared" si="3"/>
        <v>1148396.3999999999</v>
      </c>
      <c r="M33" s="102">
        <f t="shared" si="4"/>
        <v>165879.48000000001</v>
      </c>
      <c r="N33" s="102">
        <f t="shared" si="5"/>
        <v>127599.6</v>
      </c>
      <c r="O33" s="143">
        <f t="shared" si="6"/>
        <v>2126660</v>
      </c>
      <c r="Q33" s="129" t="e">
        <f>#REF!-#REF!</f>
        <v>#REF!</v>
      </c>
      <c r="R33" s="133"/>
      <c r="S33" s="133"/>
      <c r="T33" s="133"/>
      <c r="U33" s="133"/>
      <c r="V33" s="133"/>
      <c r="W33" s="133"/>
      <c r="X33" s="133"/>
      <c r="Y33" s="133"/>
      <c r="Z33" s="133"/>
    </row>
    <row r="34" spans="1:26" s="132" customFormat="1" ht="21" customHeight="1">
      <c r="A34" s="142">
        <v>32</v>
      </c>
      <c r="B34" s="111" t="s">
        <v>316</v>
      </c>
      <c r="C34" s="111"/>
      <c r="D34" s="116" t="s">
        <v>333</v>
      </c>
      <c r="E34" s="113">
        <f t="shared" si="12"/>
        <v>21000000</v>
      </c>
      <c r="F34" s="109">
        <f t="shared" si="9"/>
        <v>720000</v>
      </c>
      <c r="G34" s="109"/>
      <c r="H34" s="102">
        <f t="shared" si="1"/>
        <v>1800000</v>
      </c>
      <c r="I34" s="109"/>
      <c r="J34" s="104">
        <f t="shared" si="10"/>
        <v>1999920</v>
      </c>
      <c r="K34" s="103">
        <f t="shared" si="2"/>
        <v>765597.6</v>
      </c>
      <c r="L34" s="102">
        <f t="shared" si="3"/>
        <v>1148396.3999999999</v>
      </c>
      <c r="M34" s="102">
        <f t="shared" si="4"/>
        <v>165879.48000000001</v>
      </c>
      <c r="N34" s="102">
        <f t="shared" si="5"/>
        <v>127599.6</v>
      </c>
      <c r="O34" s="143">
        <f t="shared" si="6"/>
        <v>2126660</v>
      </c>
      <c r="Q34" s="129" t="e">
        <f>#REF!-#REF!</f>
        <v>#REF!</v>
      </c>
      <c r="R34" s="133"/>
      <c r="S34" s="133"/>
      <c r="T34" s="133"/>
      <c r="U34" s="133"/>
      <c r="V34" s="133"/>
      <c r="W34" s="133"/>
      <c r="X34" s="133"/>
      <c r="Y34" s="133"/>
      <c r="Z34" s="133"/>
    </row>
    <row r="35" spans="1:26" s="132" customFormat="1" ht="21" customHeight="1">
      <c r="A35" s="142">
        <v>33</v>
      </c>
      <c r="B35" s="111" t="s">
        <v>316</v>
      </c>
      <c r="C35" s="111"/>
      <c r="D35" s="116" t="s">
        <v>334</v>
      </c>
      <c r="E35" s="113">
        <f t="shared" si="12"/>
        <v>21000000</v>
      </c>
      <c r="F35" s="109">
        <f t="shared" si="9"/>
        <v>720000</v>
      </c>
      <c r="G35" s="109"/>
      <c r="H35" s="102">
        <f t="shared" si="1"/>
        <v>1800000</v>
      </c>
      <c r="I35" s="109"/>
      <c r="J35" s="104">
        <f t="shared" si="10"/>
        <v>1999920</v>
      </c>
      <c r="K35" s="103">
        <f t="shared" si="2"/>
        <v>765597.6</v>
      </c>
      <c r="L35" s="102">
        <f t="shared" si="3"/>
        <v>1148396.3999999999</v>
      </c>
      <c r="M35" s="102">
        <f t="shared" si="4"/>
        <v>165879.48000000001</v>
      </c>
      <c r="N35" s="102">
        <f t="shared" si="5"/>
        <v>127599.6</v>
      </c>
      <c r="O35" s="143">
        <f t="shared" si="6"/>
        <v>2126660</v>
      </c>
      <c r="Q35" s="129" t="e">
        <f>#REF!-#REF!</f>
        <v>#REF!</v>
      </c>
      <c r="R35" s="133"/>
      <c r="S35" s="133"/>
      <c r="T35" s="133"/>
      <c r="U35" s="133"/>
      <c r="V35" s="133"/>
      <c r="W35" s="133"/>
      <c r="X35" s="133"/>
      <c r="Y35" s="133"/>
      <c r="Z35" s="133"/>
    </row>
    <row r="36" spans="1:26" s="132" customFormat="1" ht="21" customHeight="1">
      <c r="A36" s="142">
        <v>34</v>
      </c>
      <c r="B36" s="111" t="s">
        <v>316</v>
      </c>
      <c r="C36" s="111"/>
      <c r="D36" s="116" t="s">
        <v>335</v>
      </c>
      <c r="E36" s="113">
        <f>1745150*12</f>
        <v>20941800</v>
      </c>
      <c r="F36" s="109">
        <f t="shared" si="9"/>
        <v>720000</v>
      </c>
      <c r="G36" s="119"/>
      <c r="H36" s="102">
        <f t="shared" si="1"/>
        <v>1800000</v>
      </c>
      <c r="I36" s="109"/>
      <c r="J36" s="104">
        <f t="shared" si="10"/>
        <v>1999920</v>
      </c>
      <c r="K36" s="103">
        <f t="shared" si="2"/>
        <v>763851.6</v>
      </c>
      <c r="L36" s="102">
        <f t="shared" si="3"/>
        <v>1145777.3999999999</v>
      </c>
      <c r="M36" s="102">
        <f t="shared" si="4"/>
        <v>165501.18000000002</v>
      </c>
      <c r="N36" s="102">
        <f t="shared" si="5"/>
        <v>127308.6</v>
      </c>
      <c r="O36" s="143">
        <f t="shared" si="6"/>
        <v>2121810</v>
      </c>
      <c r="Q36" s="129" t="e">
        <f>#REF!-#REF!</f>
        <v>#REF!</v>
      </c>
      <c r="R36" s="133"/>
      <c r="S36" s="133"/>
      <c r="T36" s="133"/>
      <c r="U36" s="133"/>
      <c r="V36" s="133"/>
      <c r="W36" s="133"/>
      <c r="X36" s="133"/>
      <c r="Y36" s="133"/>
      <c r="Z36" s="133"/>
    </row>
    <row r="37" spans="1:26" s="132" customFormat="1" ht="21" customHeight="1">
      <c r="A37" s="142">
        <v>35</v>
      </c>
      <c r="B37" s="111" t="s">
        <v>318</v>
      </c>
      <c r="C37" s="111"/>
      <c r="D37" s="116" t="s">
        <v>336</v>
      </c>
      <c r="E37" s="113">
        <f t="shared" ref="E37:E42" si="13">1745150*12</f>
        <v>20941800</v>
      </c>
      <c r="F37" s="109">
        <f t="shared" si="9"/>
        <v>720000</v>
      </c>
      <c r="G37" s="120"/>
      <c r="H37" s="102">
        <f t="shared" si="1"/>
        <v>1800000</v>
      </c>
      <c r="I37" s="109"/>
      <c r="J37" s="104">
        <f t="shared" si="10"/>
        <v>1999920</v>
      </c>
      <c r="K37" s="103">
        <f t="shared" si="2"/>
        <v>763851.6</v>
      </c>
      <c r="L37" s="102">
        <f t="shared" si="3"/>
        <v>1145777.3999999999</v>
      </c>
      <c r="M37" s="102">
        <f t="shared" si="4"/>
        <v>165501.18000000002</v>
      </c>
      <c r="N37" s="102">
        <f t="shared" si="5"/>
        <v>127308.6</v>
      </c>
      <c r="O37" s="143">
        <f t="shared" si="6"/>
        <v>2121810</v>
      </c>
      <c r="Q37" s="129" t="e">
        <f>#REF!-#REF!</f>
        <v>#REF!</v>
      </c>
      <c r="R37" s="133"/>
      <c r="S37" s="133"/>
      <c r="T37" s="133"/>
      <c r="U37" s="133"/>
      <c r="V37" s="133"/>
      <c r="W37" s="133"/>
      <c r="X37" s="133"/>
      <c r="Y37" s="133"/>
      <c r="Z37" s="133"/>
    </row>
    <row r="38" spans="1:26" s="132" customFormat="1" ht="21" customHeight="1">
      <c r="A38" s="142">
        <v>36</v>
      </c>
      <c r="B38" s="111" t="s">
        <v>318</v>
      </c>
      <c r="C38" s="111"/>
      <c r="D38" s="116" t="s">
        <v>337</v>
      </c>
      <c r="E38" s="113">
        <f t="shared" si="13"/>
        <v>20941800</v>
      </c>
      <c r="F38" s="109">
        <f t="shared" si="9"/>
        <v>720000</v>
      </c>
      <c r="G38" s="120"/>
      <c r="H38" s="102">
        <f t="shared" si="1"/>
        <v>1800000</v>
      </c>
      <c r="I38" s="109"/>
      <c r="J38" s="104">
        <f t="shared" si="10"/>
        <v>1999920</v>
      </c>
      <c r="K38" s="103">
        <f t="shared" si="2"/>
        <v>763851.6</v>
      </c>
      <c r="L38" s="102">
        <f t="shared" si="3"/>
        <v>1145777.3999999999</v>
      </c>
      <c r="M38" s="102">
        <f t="shared" si="4"/>
        <v>165501.18000000002</v>
      </c>
      <c r="N38" s="102">
        <f t="shared" si="5"/>
        <v>127308.6</v>
      </c>
      <c r="O38" s="143">
        <f t="shared" si="6"/>
        <v>2121810</v>
      </c>
      <c r="Q38" s="129" t="e">
        <f>#REF!-#REF!</f>
        <v>#REF!</v>
      </c>
      <c r="R38" s="133"/>
      <c r="S38" s="133"/>
      <c r="T38" s="133"/>
      <c r="U38" s="133"/>
      <c r="V38" s="133"/>
      <c r="W38" s="133"/>
      <c r="X38" s="133"/>
      <c r="Y38" s="133"/>
      <c r="Z38" s="133"/>
    </row>
    <row r="39" spans="1:26" s="134" customFormat="1" ht="21" customHeight="1">
      <c r="A39" s="142">
        <v>37</v>
      </c>
      <c r="B39" s="121" t="s">
        <v>318</v>
      </c>
      <c r="C39" s="121"/>
      <c r="D39" s="122" t="s">
        <v>338</v>
      </c>
      <c r="E39" s="113">
        <f t="shared" si="13"/>
        <v>20941800</v>
      </c>
      <c r="F39" s="109">
        <f t="shared" si="9"/>
        <v>720000</v>
      </c>
      <c r="G39" s="109"/>
      <c r="H39" s="102">
        <f t="shared" si="1"/>
        <v>1800000</v>
      </c>
      <c r="I39" s="120"/>
      <c r="J39" s="104">
        <f t="shared" si="10"/>
        <v>1999920</v>
      </c>
      <c r="K39" s="103">
        <f t="shared" si="2"/>
        <v>763851.6</v>
      </c>
      <c r="L39" s="102">
        <f t="shared" si="3"/>
        <v>1145777.3999999999</v>
      </c>
      <c r="M39" s="102">
        <f t="shared" si="4"/>
        <v>165501.18000000002</v>
      </c>
      <c r="N39" s="102">
        <f t="shared" si="5"/>
        <v>127308.6</v>
      </c>
      <c r="O39" s="143">
        <f t="shared" si="6"/>
        <v>2121810</v>
      </c>
      <c r="Q39" s="129" t="e">
        <f>#REF!-#REF!</f>
        <v>#REF!</v>
      </c>
      <c r="R39" s="135"/>
      <c r="S39" s="135"/>
      <c r="T39" s="135"/>
      <c r="U39" s="135"/>
      <c r="V39" s="135"/>
      <c r="W39" s="135"/>
      <c r="X39" s="135"/>
      <c r="Y39" s="135"/>
      <c r="Z39" s="135"/>
    </row>
    <row r="40" spans="1:26" s="136" customFormat="1" ht="21" customHeight="1">
      <c r="A40" s="142">
        <v>38</v>
      </c>
      <c r="B40" s="99" t="s">
        <v>318</v>
      </c>
      <c r="C40" s="99"/>
      <c r="D40" s="110" t="s">
        <v>339</v>
      </c>
      <c r="E40" s="113">
        <f t="shared" si="13"/>
        <v>20941800</v>
      </c>
      <c r="F40" s="109">
        <f t="shared" si="9"/>
        <v>720000</v>
      </c>
      <c r="G40" s="109">
        <v>480000</v>
      </c>
      <c r="H40" s="102">
        <f t="shared" si="1"/>
        <v>1800000</v>
      </c>
      <c r="I40" s="102"/>
      <c r="J40" s="104">
        <f t="shared" si="10"/>
        <v>1999920</v>
      </c>
      <c r="K40" s="103">
        <f t="shared" si="2"/>
        <v>778251.6</v>
      </c>
      <c r="L40" s="102">
        <f t="shared" si="3"/>
        <v>1167377.3999999999</v>
      </c>
      <c r="M40" s="102">
        <f t="shared" si="4"/>
        <v>168621.18000000002</v>
      </c>
      <c r="N40" s="102">
        <f t="shared" si="5"/>
        <v>129708.6</v>
      </c>
      <c r="O40" s="143">
        <f t="shared" si="6"/>
        <v>2161810</v>
      </c>
      <c r="Q40" s="129" t="e">
        <f>#REF!-#REF!</f>
        <v>#REF!</v>
      </c>
      <c r="R40" s="137"/>
      <c r="S40" s="137"/>
      <c r="T40" s="137"/>
      <c r="U40" s="137"/>
      <c r="V40" s="137"/>
      <c r="W40" s="137"/>
      <c r="X40" s="137"/>
      <c r="Y40" s="137"/>
      <c r="Z40" s="137"/>
    </row>
    <row r="41" spans="1:26" s="136" customFormat="1" ht="21" customHeight="1">
      <c r="A41" s="142">
        <v>39</v>
      </c>
      <c r="B41" s="99" t="s">
        <v>318</v>
      </c>
      <c r="C41" s="99"/>
      <c r="D41" s="110" t="s">
        <v>268</v>
      </c>
      <c r="E41" s="113">
        <f t="shared" si="13"/>
        <v>20941800</v>
      </c>
      <c r="F41" s="109">
        <f t="shared" si="9"/>
        <v>720000</v>
      </c>
      <c r="G41" s="109">
        <v>480000</v>
      </c>
      <c r="H41" s="102">
        <f t="shared" si="1"/>
        <v>1800000</v>
      </c>
      <c r="I41" s="102"/>
      <c r="J41" s="104">
        <f t="shared" si="10"/>
        <v>1999920</v>
      </c>
      <c r="K41" s="103">
        <f t="shared" si="2"/>
        <v>778251.6</v>
      </c>
      <c r="L41" s="102">
        <f t="shared" si="3"/>
        <v>1167377.3999999999</v>
      </c>
      <c r="M41" s="102">
        <f t="shared" si="4"/>
        <v>168621.18000000002</v>
      </c>
      <c r="N41" s="102">
        <f t="shared" si="5"/>
        <v>129708.6</v>
      </c>
      <c r="O41" s="143">
        <f t="shared" si="6"/>
        <v>2161810</v>
      </c>
      <c r="Q41" s="129"/>
      <c r="R41" s="137"/>
      <c r="S41" s="137"/>
      <c r="T41" s="137"/>
      <c r="U41" s="137"/>
      <c r="V41" s="137"/>
      <c r="W41" s="137"/>
      <c r="X41" s="137"/>
      <c r="Y41" s="137"/>
      <c r="Z41" s="137"/>
    </row>
    <row r="42" spans="1:26" s="136" customFormat="1" ht="21" customHeight="1">
      <c r="A42" s="142">
        <v>40</v>
      </c>
      <c r="B42" s="99" t="s">
        <v>318</v>
      </c>
      <c r="C42" s="99"/>
      <c r="D42" s="110" t="s">
        <v>268</v>
      </c>
      <c r="E42" s="113">
        <f t="shared" si="13"/>
        <v>20941800</v>
      </c>
      <c r="F42" s="109">
        <f t="shared" si="9"/>
        <v>720000</v>
      </c>
      <c r="G42" s="109">
        <v>480000</v>
      </c>
      <c r="H42" s="102">
        <f t="shared" si="1"/>
        <v>1800000</v>
      </c>
      <c r="I42" s="102"/>
      <c r="J42" s="104">
        <f t="shared" si="10"/>
        <v>1999920</v>
      </c>
      <c r="K42" s="103">
        <f t="shared" si="2"/>
        <v>778251.6</v>
      </c>
      <c r="L42" s="102">
        <f t="shared" si="3"/>
        <v>1167377.3999999999</v>
      </c>
      <c r="M42" s="102">
        <f t="shared" si="4"/>
        <v>168621.18000000002</v>
      </c>
      <c r="N42" s="102">
        <f t="shared" si="5"/>
        <v>129708.6</v>
      </c>
      <c r="O42" s="143">
        <f t="shared" si="6"/>
        <v>2161810</v>
      </c>
      <c r="Q42" s="129"/>
      <c r="R42" s="137"/>
      <c r="S42" s="137"/>
      <c r="T42" s="137"/>
      <c r="U42" s="137"/>
      <c r="V42" s="137"/>
      <c r="W42" s="137"/>
      <c r="X42" s="137"/>
      <c r="Y42" s="137"/>
      <c r="Z42" s="137"/>
    </row>
    <row r="43" spans="1:26" s="129" customFormat="1" ht="21" customHeight="1">
      <c r="A43" s="142">
        <v>41</v>
      </c>
      <c r="B43" s="99" t="s">
        <v>318</v>
      </c>
      <c r="C43" s="99"/>
      <c r="D43" s="100" t="s">
        <v>340</v>
      </c>
      <c r="E43" s="101">
        <f>1745150*12</f>
        <v>20941800</v>
      </c>
      <c r="F43" s="109">
        <f t="shared" si="9"/>
        <v>720000</v>
      </c>
      <c r="G43" s="119"/>
      <c r="H43" s="102">
        <f t="shared" si="1"/>
        <v>1800000</v>
      </c>
      <c r="I43" s="102">
        <v>840000</v>
      </c>
      <c r="J43" s="104">
        <f t="shared" si="10"/>
        <v>1999920</v>
      </c>
      <c r="K43" s="103">
        <f t="shared" si="2"/>
        <v>789051.6</v>
      </c>
      <c r="L43" s="102">
        <f t="shared" si="3"/>
        <v>1183577.3999999999</v>
      </c>
      <c r="M43" s="102">
        <f t="shared" si="4"/>
        <v>170961.18000000002</v>
      </c>
      <c r="N43" s="102">
        <f t="shared" si="5"/>
        <v>131508.6</v>
      </c>
      <c r="O43" s="143">
        <f t="shared" si="6"/>
        <v>2191810</v>
      </c>
      <c r="Q43" s="129" t="e">
        <f>#REF!-#REF!</f>
        <v>#REF!</v>
      </c>
      <c r="R43" s="130"/>
      <c r="S43" s="130"/>
      <c r="T43" s="130"/>
      <c r="U43" s="130"/>
      <c r="V43" s="130"/>
      <c r="W43" s="130"/>
      <c r="X43" s="130"/>
      <c r="Y43" s="130"/>
      <c r="Z43" s="130"/>
    </row>
    <row r="44" spans="1:26" s="114" customFormat="1" ht="21" customHeight="1">
      <c r="A44" s="142">
        <v>42</v>
      </c>
      <c r="B44" s="111" t="s">
        <v>318</v>
      </c>
      <c r="C44" s="111"/>
      <c r="D44" s="112" t="s">
        <v>341</v>
      </c>
      <c r="E44" s="101">
        <f t="shared" ref="E44:E48" si="14">1745150*12</f>
        <v>20941800</v>
      </c>
      <c r="F44" s="109">
        <f t="shared" si="9"/>
        <v>720000</v>
      </c>
      <c r="G44" s="120"/>
      <c r="H44" s="102">
        <f t="shared" si="1"/>
        <v>1800000</v>
      </c>
      <c r="I44" s="102">
        <v>840000</v>
      </c>
      <c r="J44" s="104">
        <f t="shared" si="10"/>
        <v>1999920</v>
      </c>
      <c r="K44" s="103">
        <f t="shared" si="2"/>
        <v>789051.6</v>
      </c>
      <c r="L44" s="102">
        <f t="shared" si="3"/>
        <v>1183577.3999999999</v>
      </c>
      <c r="M44" s="102">
        <f t="shared" si="4"/>
        <v>170961.18000000002</v>
      </c>
      <c r="N44" s="102">
        <f t="shared" si="5"/>
        <v>131508.6</v>
      </c>
      <c r="O44" s="143">
        <f t="shared" si="6"/>
        <v>2191810</v>
      </c>
      <c r="Q44" s="129" t="e">
        <f>#REF!-#REF!</f>
        <v>#REF!</v>
      </c>
      <c r="R44" s="115"/>
      <c r="S44" s="115"/>
      <c r="T44" s="115"/>
      <c r="U44" s="115"/>
      <c r="V44" s="115"/>
      <c r="W44" s="115"/>
      <c r="X44" s="115"/>
      <c r="Y44" s="115"/>
      <c r="Z44" s="115"/>
    </row>
    <row r="45" spans="1:26" s="132" customFormat="1" ht="21" customHeight="1">
      <c r="A45" s="142">
        <v>43</v>
      </c>
      <c r="B45" s="111" t="s">
        <v>316</v>
      </c>
      <c r="C45" s="111"/>
      <c r="D45" s="116" t="s">
        <v>342</v>
      </c>
      <c r="E45" s="101">
        <f t="shared" si="14"/>
        <v>20941800</v>
      </c>
      <c r="F45" s="109">
        <f t="shared" si="9"/>
        <v>720000</v>
      </c>
      <c r="G45" s="120"/>
      <c r="H45" s="102">
        <f t="shared" si="1"/>
        <v>1800000</v>
      </c>
      <c r="I45" s="102">
        <v>840000</v>
      </c>
      <c r="J45" s="104">
        <f t="shared" si="10"/>
        <v>1999920</v>
      </c>
      <c r="K45" s="103">
        <f t="shared" si="2"/>
        <v>789051.6</v>
      </c>
      <c r="L45" s="102">
        <f t="shared" si="3"/>
        <v>1183577.3999999999</v>
      </c>
      <c r="M45" s="102">
        <f t="shared" si="4"/>
        <v>170961.18000000002</v>
      </c>
      <c r="N45" s="102">
        <f t="shared" si="5"/>
        <v>131508.6</v>
      </c>
      <c r="O45" s="143">
        <f t="shared" si="6"/>
        <v>2191810</v>
      </c>
      <c r="Q45" s="129" t="e">
        <f>#REF!-#REF!</f>
        <v>#REF!</v>
      </c>
      <c r="R45" s="133"/>
      <c r="S45" s="133"/>
      <c r="T45" s="133"/>
      <c r="U45" s="133"/>
      <c r="V45" s="133"/>
      <c r="W45" s="133"/>
      <c r="X45" s="133"/>
      <c r="Y45" s="133"/>
      <c r="Z45" s="133"/>
    </row>
    <row r="46" spans="1:26" s="132" customFormat="1" ht="21" customHeight="1">
      <c r="A46" s="142">
        <v>44</v>
      </c>
      <c r="B46" s="111" t="s">
        <v>318</v>
      </c>
      <c r="C46" s="111"/>
      <c r="D46" s="116" t="s">
        <v>343</v>
      </c>
      <c r="E46" s="101">
        <f t="shared" si="14"/>
        <v>20941800</v>
      </c>
      <c r="F46" s="109">
        <f t="shared" si="9"/>
        <v>720000</v>
      </c>
      <c r="G46" s="119"/>
      <c r="H46" s="102">
        <f t="shared" si="1"/>
        <v>1800000</v>
      </c>
      <c r="I46" s="109"/>
      <c r="J46" s="104">
        <f t="shared" si="10"/>
        <v>1999920</v>
      </c>
      <c r="K46" s="103">
        <f t="shared" si="2"/>
        <v>763851.6</v>
      </c>
      <c r="L46" s="102">
        <f t="shared" si="3"/>
        <v>1145777.3999999999</v>
      </c>
      <c r="M46" s="102">
        <f t="shared" si="4"/>
        <v>165501.18000000002</v>
      </c>
      <c r="N46" s="102">
        <f t="shared" si="5"/>
        <v>127308.6</v>
      </c>
      <c r="O46" s="143">
        <f t="shared" si="6"/>
        <v>2121810</v>
      </c>
      <c r="Q46" s="129" t="e">
        <f>#REF!-#REF!</f>
        <v>#REF!</v>
      </c>
      <c r="R46" s="133"/>
      <c r="S46" s="133"/>
      <c r="T46" s="133"/>
      <c r="U46" s="133"/>
      <c r="V46" s="133"/>
      <c r="W46" s="133"/>
      <c r="X46" s="133"/>
      <c r="Y46" s="133"/>
      <c r="Z46" s="133"/>
    </row>
    <row r="47" spans="1:26" s="134" customFormat="1" ht="21" customHeight="1">
      <c r="A47" s="142">
        <v>45</v>
      </c>
      <c r="B47" s="121" t="s">
        <v>318</v>
      </c>
      <c r="C47" s="121"/>
      <c r="D47" s="122" t="s">
        <v>344</v>
      </c>
      <c r="E47" s="101">
        <f t="shared" si="14"/>
        <v>20941800</v>
      </c>
      <c r="F47" s="109">
        <f t="shared" si="9"/>
        <v>720000</v>
      </c>
      <c r="G47" s="120"/>
      <c r="H47" s="102">
        <f t="shared" si="1"/>
        <v>1800000</v>
      </c>
      <c r="I47" s="120"/>
      <c r="J47" s="104">
        <f t="shared" si="10"/>
        <v>1999920</v>
      </c>
      <c r="K47" s="103">
        <f t="shared" si="2"/>
        <v>763851.6</v>
      </c>
      <c r="L47" s="102">
        <f t="shared" si="3"/>
        <v>1145777.3999999999</v>
      </c>
      <c r="M47" s="102">
        <f t="shared" si="4"/>
        <v>165501.18000000002</v>
      </c>
      <c r="N47" s="102">
        <f t="shared" si="5"/>
        <v>127308.6</v>
      </c>
      <c r="O47" s="143">
        <f t="shared" si="6"/>
        <v>2121810</v>
      </c>
      <c r="Q47" s="129" t="e">
        <f>#REF!-#REF!</f>
        <v>#REF!</v>
      </c>
      <c r="R47" s="135"/>
      <c r="S47" s="135"/>
      <c r="T47" s="135"/>
      <c r="U47" s="135"/>
      <c r="V47" s="135"/>
      <c r="W47" s="135"/>
      <c r="X47" s="135"/>
      <c r="Y47" s="135"/>
      <c r="Z47" s="135"/>
    </row>
    <row r="48" spans="1:26" s="134" customFormat="1" ht="21" customHeight="1" thickBot="1">
      <c r="A48" s="147">
        <v>46</v>
      </c>
      <c r="B48" s="148" t="s">
        <v>318</v>
      </c>
      <c r="C48" s="148"/>
      <c r="D48" s="149" t="s">
        <v>345</v>
      </c>
      <c r="E48" s="150">
        <f t="shared" si="14"/>
        <v>20941800</v>
      </c>
      <c r="F48" s="151">
        <f t="shared" si="9"/>
        <v>720000</v>
      </c>
      <c r="G48" s="152"/>
      <c r="H48" s="153">
        <f t="shared" si="1"/>
        <v>1800000</v>
      </c>
      <c r="I48" s="152"/>
      <c r="J48" s="154">
        <f t="shared" si="10"/>
        <v>1999920</v>
      </c>
      <c r="K48" s="155">
        <f t="shared" si="2"/>
        <v>763851.6</v>
      </c>
      <c r="L48" s="153">
        <f t="shared" si="3"/>
        <v>1145777.3999999999</v>
      </c>
      <c r="M48" s="153">
        <f t="shared" si="4"/>
        <v>165501.18000000002</v>
      </c>
      <c r="N48" s="153">
        <f t="shared" si="5"/>
        <v>127308.6</v>
      </c>
      <c r="O48" s="156">
        <f t="shared" si="6"/>
        <v>2121810</v>
      </c>
      <c r="Q48" s="129" t="e">
        <f>#REF!-#REF!</f>
        <v>#REF!</v>
      </c>
      <c r="R48" s="135"/>
      <c r="S48" s="135"/>
      <c r="T48" s="135"/>
      <c r="U48" s="135"/>
      <c r="V48" s="135"/>
      <c r="W48" s="135"/>
      <c r="X48" s="135"/>
      <c r="Y48" s="135"/>
      <c r="Z48" s="135"/>
    </row>
    <row r="49" spans="1:26" s="138" customFormat="1" ht="21" customHeight="1">
      <c r="A49" s="390" t="s">
        <v>278</v>
      </c>
      <c r="B49" s="395" t="s">
        <v>279</v>
      </c>
      <c r="C49" s="395"/>
      <c r="D49" s="395"/>
      <c r="E49" s="157">
        <f>SUM(E3:E48)</f>
        <v>1035747960</v>
      </c>
      <c r="F49" s="157">
        <f t="shared" ref="F49:O49" si="15">SUM(F3:F48)</f>
        <v>21600000</v>
      </c>
      <c r="G49" s="157">
        <f t="shared" si="15"/>
        <v>7200000</v>
      </c>
      <c r="H49" s="157">
        <f t="shared" si="15"/>
        <v>82800000</v>
      </c>
      <c r="I49" s="157">
        <f t="shared" si="15"/>
        <v>9240000</v>
      </c>
      <c r="J49" s="157">
        <f t="shared" si="15"/>
        <v>72000000</v>
      </c>
      <c r="K49" s="157">
        <f t="shared" si="15"/>
        <v>36857638.800000034</v>
      </c>
      <c r="L49" s="157">
        <f t="shared" si="15"/>
        <v>55286458.199999951</v>
      </c>
      <c r="M49" s="157">
        <f t="shared" si="15"/>
        <v>7985821.7400000012</v>
      </c>
      <c r="N49" s="157">
        <f t="shared" si="15"/>
        <v>6142939.7999999961</v>
      </c>
      <c r="O49" s="158">
        <f t="shared" si="15"/>
        <v>102382330</v>
      </c>
      <c r="Q49" s="139"/>
      <c r="R49" s="140"/>
      <c r="S49" s="140"/>
      <c r="T49" s="140"/>
      <c r="U49" s="140"/>
      <c r="V49" s="140"/>
      <c r="W49" s="140"/>
      <c r="X49" s="140"/>
      <c r="Y49" s="140"/>
      <c r="Z49" s="140"/>
    </row>
    <row r="50" spans="1:26" s="138" customFormat="1" ht="21" customHeight="1">
      <c r="A50" s="391"/>
      <c r="B50" s="396" t="s">
        <v>280</v>
      </c>
      <c r="C50" s="397"/>
      <c r="D50" s="397"/>
      <c r="E50" s="123"/>
      <c r="F50" s="124"/>
      <c r="G50" s="125"/>
      <c r="H50" s="126"/>
      <c r="I50" s="125"/>
      <c r="J50" s="127"/>
      <c r="K50" s="128"/>
      <c r="L50" s="126"/>
      <c r="M50" s="126"/>
      <c r="N50" s="126"/>
      <c r="O50" s="144"/>
      <c r="Q50" s="139"/>
      <c r="R50" s="140"/>
      <c r="S50" s="140"/>
      <c r="T50" s="140"/>
      <c r="U50" s="140"/>
      <c r="V50" s="140"/>
      <c r="W50" s="140"/>
      <c r="X50" s="140"/>
      <c r="Y50" s="140"/>
      <c r="Z50" s="140"/>
    </row>
    <row r="51" spans="1:26" s="141" customFormat="1" ht="21" customHeight="1" thickBot="1">
      <c r="A51" s="392"/>
      <c r="B51" s="393" t="s">
        <v>281</v>
      </c>
      <c r="C51" s="394"/>
      <c r="D51" s="394"/>
      <c r="E51" s="145">
        <f>SUM(E49:E50)</f>
        <v>1035747960</v>
      </c>
      <c r="F51" s="145">
        <f t="shared" ref="F51:O51" si="16">SUM(F49:F50)</f>
        <v>21600000</v>
      </c>
      <c r="G51" s="145">
        <f t="shared" si="16"/>
        <v>7200000</v>
      </c>
      <c r="H51" s="145">
        <f t="shared" si="16"/>
        <v>82800000</v>
      </c>
      <c r="I51" s="145">
        <f t="shared" si="16"/>
        <v>9240000</v>
      </c>
      <c r="J51" s="145">
        <f t="shared" si="16"/>
        <v>72000000</v>
      </c>
      <c r="K51" s="145">
        <f t="shared" si="16"/>
        <v>36857638.800000034</v>
      </c>
      <c r="L51" s="145">
        <f t="shared" si="16"/>
        <v>55286458.199999951</v>
      </c>
      <c r="M51" s="145">
        <f t="shared" si="16"/>
        <v>7985821.7400000012</v>
      </c>
      <c r="N51" s="145">
        <f t="shared" si="16"/>
        <v>6142939.7999999961</v>
      </c>
      <c r="O51" s="146">
        <f t="shared" si="16"/>
        <v>102382330</v>
      </c>
    </row>
    <row r="53" spans="1:26" ht="196.5" customHeight="1"/>
    <row r="55" spans="1:26">
      <c r="E55" s="96">
        <f>SUM(E3:E54)</f>
        <v>3107243880</v>
      </c>
      <c r="F55" s="96">
        <f>SUM(F3:F54)</f>
        <v>64800000</v>
      </c>
      <c r="G55" s="96">
        <f>SUM(G3:G48)</f>
        <v>7200000</v>
      </c>
      <c r="H55" s="98">
        <f>SUM(H3:H54)</f>
        <v>248400000</v>
      </c>
      <c r="I55" s="98">
        <f t="shared" ref="I55:J55" si="17">SUM(I3:I54)</f>
        <v>27720000</v>
      </c>
      <c r="J55" s="98">
        <f t="shared" si="17"/>
        <v>216000000</v>
      </c>
      <c r="K55" s="98">
        <f t="shared" ref="K55" si="18">SUM(K3:K54)</f>
        <v>110572916.4000001</v>
      </c>
      <c r="L55" s="98">
        <f t="shared" ref="L55" si="19">SUM(L3:L54)</f>
        <v>165859374.59999985</v>
      </c>
      <c r="M55" s="98">
        <f t="shared" ref="M55" si="20">SUM(M3:M54)</f>
        <v>23957465.220000003</v>
      </c>
      <c r="N55" s="98">
        <f t="shared" ref="N55" si="21">SUM(N3:N54)</f>
        <v>18428819.399999987</v>
      </c>
      <c r="O55" s="98">
        <f t="shared" ref="O55" si="22">SUM(O3:O54)</f>
        <v>307146990</v>
      </c>
    </row>
    <row r="56" spans="1:26">
      <c r="F56" s="97"/>
      <c r="G56" s="97"/>
      <c r="H56" s="97"/>
      <c r="I56" s="97"/>
      <c r="J56" s="97"/>
    </row>
    <row r="59" spans="1:26">
      <c r="G59" s="387">
        <f>SUM(F49:J49)</f>
        <v>192840000</v>
      </c>
      <c r="H59" s="388"/>
      <c r="I59" s="388"/>
      <c r="J59" s="388"/>
      <c r="K59" s="387">
        <f>SUM(K51:N51)</f>
        <v>106272858.53999998</v>
      </c>
      <c r="L59" s="388"/>
      <c r="M59" s="388"/>
    </row>
    <row r="60" spans="1:26">
      <c r="G60" s="388"/>
      <c r="H60" s="388"/>
      <c r="I60" s="388"/>
      <c r="J60" s="388"/>
      <c r="K60" s="388"/>
      <c r="L60" s="388"/>
      <c r="M60" s="388"/>
    </row>
  </sheetData>
  <mergeCells count="7">
    <mergeCell ref="G59:J60"/>
    <mergeCell ref="K59:M60"/>
    <mergeCell ref="A1:O1"/>
    <mergeCell ref="A49:A51"/>
    <mergeCell ref="B51:D51"/>
    <mergeCell ref="B49:D49"/>
    <mergeCell ref="B50:D50"/>
  </mergeCells>
  <phoneticPr fontId="2" type="noConversion"/>
  <printOptions horizontalCentered="1"/>
  <pageMargins left="0.11811023622047245" right="0.11811023622047245" top="0.39370078740157483" bottom="0.19685039370078741" header="0.31496062992125984" footer="0.11811023622047245"/>
  <pageSetup paperSize="9" scale="84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tabSelected="1" topLeftCell="A35" workbookViewId="0">
      <selection sqref="A1:L63"/>
    </sheetView>
  </sheetViews>
  <sheetFormatPr defaultRowHeight="16.5"/>
  <cols>
    <col min="1" max="2" width="9.625" customWidth="1"/>
    <col min="3" max="3" width="10.625" customWidth="1"/>
    <col min="4" max="6" width="13.625" customWidth="1"/>
    <col min="7" max="9" width="9.625" customWidth="1"/>
    <col min="10" max="12" width="13.625" customWidth="1"/>
  </cols>
  <sheetData>
    <row r="1" spans="1:12" ht="45" customHeight="1" thickBot="1">
      <c r="A1" s="467" t="s">
        <v>354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</row>
    <row r="2" spans="1:12" ht="20.100000000000001" customHeight="1">
      <c r="A2" s="508" t="s">
        <v>346</v>
      </c>
      <c r="B2" s="509"/>
      <c r="C2" s="509"/>
      <c r="D2" s="509"/>
      <c r="E2" s="509"/>
      <c r="F2" s="510"/>
      <c r="G2" s="508" t="s">
        <v>347</v>
      </c>
      <c r="H2" s="509"/>
      <c r="I2" s="509"/>
      <c r="J2" s="509"/>
      <c r="K2" s="509"/>
      <c r="L2" s="511"/>
    </row>
    <row r="3" spans="1:12" ht="20.100000000000001" customHeight="1">
      <c r="A3" s="512" t="s">
        <v>0</v>
      </c>
      <c r="B3" s="505"/>
      <c r="C3" s="505"/>
      <c r="D3" s="505" t="s">
        <v>348</v>
      </c>
      <c r="E3" s="505"/>
      <c r="F3" s="200" t="s">
        <v>349</v>
      </c>
      <c r="G3" s="512" t="s">
        <v>0</v>
      </c>
      <c r="H3" s="505"/>
      <c r="I3" s="505"/>
      <c r="J3" s="505" t="s">
        <v>348</v>
      </c>
      <c r="K3" s="505"/>
      <c r="L3" s="188" t="s">
        <v>349</v>
      </c>
    </row>
    <row r="4" spans="1:12" ht="20.100000000000001" customHeight="1">
      <c r="A4" s="512" t="s">
        <v>2</v>
      </c>
      <c r="B4" s="505" t="s">
        <v>371</v>
      </c>
      <c r="C4" s="505" t="s">
        <v>4</v>
      </c>
      <c r="D4" s="180" t="s">
        <v>372</v>
      </c>
      <c r="E4" s="180" t="s">
        <v>373</v>
      </c>
      <c r="F4" s="200" t="s">
        <v>352</v>
      </c>
      <c r="G4" s="506" t="s">
        <v>2</v>
      </c>
      <c r="H4" s="505" t="s">
        <v>371</v>
      </c>
      <c r="I4" s="505" t="s">
        <v>4</v>
      </c>
      <c r="J4" s="181" t="s">
        <v>372</v>
      </c>
      <c r="K4" s="181" t="s">
        <v>373</v>
      </c>
      <c r="L4" s="188" t="s">
        <v>352</v>
      </c>
    </row>
    <row r="5" spans="1:12" ht="20.100000000000001" customHeight="1">
      <c r="A5" s="512"/>
      <c r="B5" s="505"/>
      <c r="C5" s="505"/>
      <c r="D5" s="180" t="s">
        <v>350</v>
      </c>
      <c r="E5" s="180" t="s">
        <v>351</v>
      </c>
      <c r="F5" s="200" t="s">
        <v>353</v>
      </c>
      <c r="G5" s="507"/>
      <c r="H5" s="505"/>
      <c r="I5" s="505"/>
      <c r="J5" s="180" t="s">
        <v>350</v>
      </c>
      <c r="K5" s="180" t="s">
        <v>351</v>
      </c>
      <c r="L5" s="188" t="s">
        <v>353</v>
      </c>
    </row>
    <row r="6" spans="1:12" ht="20.100000000000001" customHeight="1">
      <c r="A6" s="463" t="s">
        <v>6</v>
      </c>
      <c r="B6" s="464"/>
      <c r="C6" s="464"/>
      <c r="D6" s="172">
        <f>D11+D16+D21+D24+D27+D32+D41</f>
        <v>1671011130</v>
      </c>
      <c r="E6" s="172">
        <f t="shared" ref="E6:F6" si="0">E11+E16+E21+E24+E27+E32+E41</f>
        <v>1988872000</v>
      </c>
      <c r="F6" s="201">
        <f t="shared" si="0"/>
        <v>317860870</v>
      </c>
      <c r="G6" s="463" t="s">
        <v>6</v>
      </c>
      <c r="H6" s="464"/>
      <c r="I6" s="464"/>
      <c r="J6" s="172">
        <f>J33+J40+J55+J60+J63</f>
        <v>1671011130</v>
      </c>
      <c r="K6" s="172">
        <f t="shared" ref="K6:L6" si="1">K33+K40+K55+K60+K63</f>
        <v>1988872000</v>
      </c>
      <c r="L6" s="189">
        <f t="shared" si="1"/>
        <v>317860870</v>
      </c>
    </row>
    <row r="7" spans="1:12" ht="18" customHeight="1">
      <c r="A7" s="453" t="s">
        <v>175</v>
      </c>
      <c r="B7" s="451" t="s">
        <v>42</v>
      </c>
      <c r="C7" s="502" t="s">
        <v>355</v>
      </c>
      <c r="D7" s="462">
        <v>115096180</v>
      </c>
      <c r="E7" s="462">
        <v>135419380</v>
      </c>
      <c r="F7" s="488">
        <f>E7-D7</f>
        <v>20323200</v>
      </c>
      <c r="G7" s="431" t="s">
        <v>384</v>
      </c>
      <c r="H7" s="451" t="s">
        <v>178</v>
      </c>
      <c r="I7" s="451" t="s">
        <v>374</v>
      </c>
      <c r="J7" s="448">
        <v>827976000</v>
      </c>
      <c r="K7" s="448">
        <v>1035747960</v>
      </c>
      <c r="L7" s="449">
        <f>K7-J7</f>
        <v>207771960</v>
      </c>
    </row>
    <row r="8" spans="1:12" ht="18" customHeight="1">
      <c r="A8" s="453"/>
      <c r="B8" s="451"/>
      <c r="C8" s="458"/>
      <c r="D8" s="494"/>
      <c r="E8" s="494"/>
      <c r="F8" s="504"/>
      <c r="G8" s="431"/>
      <c r="H8" s="451"/>
      <c r="I8" s="451"/>
      <c r="J8" s="448"/>
      <c r="K8" s="448"/>
      <c r="L8" s="449"/>
    </row>
    <row r="9" spans="1:12" ht="18" customHeight="1">
      <c r="A9" s="453"/>
      <c r="B9" s="451"/>
      <c r="C9" s="457" t="s">
        <v>356</v>
      </c>
      <c r="D9" s="461">
        <v>65043000</v>
      </c>
      <c r="E9" s="461">
        <v>82125000</v>
      </c>
      <c r="F9" s="488">
        <f>E9-D9</f>
        <v>17082000</v>
      </c>
      <c r="G9" s="431"/>
      <c r="H9" s="451"/>
      <c r="I9" s="451" t="s">
        <v>197</v>
      </c>
      <c r="J9" s="448">
        <v>170400000</v>
      </c>
      <c r="K9" s="448">
        <v>192840000</v>
      </c>
      <c r="L9" s="449">
        <f>K9-J9</f>
        <v>22440000</v>
      </c>
    </row>
    <row r="10" spans="1:12" ht="18" customHeight="1">
      <c r="A10" s="453"/>
      <c r="B10" s="451"/>
      <c r="C10" s="458"/>
      <c r="D10" s="494"/>
      <c r="E10" s="494"/>
      <c r="F10" s="504"/>
      <c r="G10" s="431"/>
      <c r="H10" s="451"/>
      <c r="I10" s="451"/>
      <c r="J10" s="448"/>
      <c r="K10" s="448"/>
      <c r="L10" s="449"/>
    </row>
    <row r="11" spans="1:12" ht="18" customHeight="1">
      <c r="A11" s="459"/>
      <c r="B11" s="460"/>
      <c r="C11" s="171"/>
      <c r="D11" s="173">
        <f>SUM(D7:D10)</f>
        <v>180139180</v>
      </c>
      <c r="E11" s="173">
        <f t="shared" ref="E11:F11" si="2">SUM(E7:E10)</f>
        <v>217544380</v>
      </c>
      <c r="F11" s="174">
        <f t="shared" si="2"/>
        <v>37405200</v>
      </c>
      <c r="G11" s="431"/>
      <c r="H11" s="451"/>
      <c r="I11" s="451" t="s">
        <v>375</v>
      </c>
      <c r="J11" s="448">
        <v>68970400</v>
      </c>
      <c r="K11" s="448">
        <v>102382330</v>
      </c>
      <c r="L11" s="449">
        <f t="shared" ref="L11" si="3">K11-J11</f>
        <v>33411930</v>
      </c>
    </row>
    <row r="12" spans="1:12" ht="18" customHeight="1">
      <c r="A12" s="452" t="s">
        <v>45</v>
      </c>
      <c r="B12" s="451" t="s">
        <v>46</v>
      </c>
      <c r="C12" s="455" t="s">
        <v>362</v>
      </c>
      <c r="D12" s="461">
        <v>153097850</v>
      </c>
      <c r="E12" s="461">
        <v>188891150</v>
      </c>
      <c r="F12" s="487">
        <f>E12-D12</f>
        <v>35793300</v>
      </c>
      <c r="G12" s="431"/>
      <c r="H12" s="451"/>
      <c r="I12" s="451"/>
      <c r="J12" s="448"/>
      <c r="K12" s="448"/>
      <c r="L12" s="449"/>
    </row>
    <row r="13" spans="1:12" ht="18" customHeight="1">
      <c r="A13" s="453"/>
      <c r="B13" s="451"/>
      <c r="C13" s="456"/>
      <c r="D13" s="462"/>
      <c r="E13" s="462"/>
      <c r="F13" s="488"/>
      <c r="G13" s="431"/>
      <c r="H13" s="451"/>
      <c r="I13" s="451" t="s">
        <v>376</v>
      </c>
      <c r="J13" s="503">
        <v>88251750</v>
      </c>
      <c r="K13" s="448">
        <v>106272859</v>
      </c>
      <c r="L13" s="449">
        <f t="shared" ref="L13" si="4">K13-J13</f>
        <v>18021109</v>
      </c>
    </row>
    <row r="14" spans="1:12" ht="18" customHeight="1">
      <c r="A14" s="453"/>
      <c r="B14" s="451"/>
      <c r="C14" s="455" t="s">
        <v>363</v>
      </c>
      <c r="D14" s="461">
        <v>88200000</v>
      </c>
      <c r="E14" s="461">
        <v>111600000</v>
      </c>
      <c r="F14" s="487">
        <f>E14-D14</f>
        <v>23400000</v>
      </c>
      <c r="G14" s="431"/>
      <c r="H14" s="451"/>
      <c r="I14" s="451"/>
      <c r="J14" s="503"/>
      <c r="K14" s="448"/>
      <c r="L14" s="449"/>
    </row>
    <row r="15" spans="1:12" ht="18" customHeight="1">
      <c r="A15" s="454"/>
      <c r="B15" s="451"/>
      <c r="C15" s="456"/>
      <c r="D15" s="462"/>
      <c r="E15" s="462"/>
      <c r="F15" s="488"/>
      <c r="G15" s="431"/>
      <c r="H15" s="451"/>
      <c r="I15" s="451" t="s">
        <v>377</v>
      </c>
      <c r="J15" s="446">
        <v>16400000</v>
      </c>
      <c r="K15" s="448"/>
      <c r="L15" s="449">
        <f t="shared" ref="L15" si="5">K15-J15</f>
        <v>-16400000</v>
      </c>
    </row>
    <row r="16" spans="1:12" ht="18" customHeight="1">
      <c r="A16" s="459"/>
      <c r="B16" s="460"/>
      <c r="C16" s="171"/>
      <c r="D16" s="173">
        <f>SUM(D12:D15)</f>
        <v>241297850</v>
      </c>
      <c r="E16" s="173">
        <f t="shared" ref="E16:F16" si="6">SUM(E12:E15)</f>
        <v>300491150</v>
      </c>
      <c r="F16" s="174">
        <f t="shared" si="6"/>
        <v>59193300</v>
      </c>
      <c r="G16" s="431"/>
      <c r="H16" s="451"/>
      <c r="I16" s="451"/>
      <c r="J16" s="447"/>
      <c r="K16" s="448"/>
      <c r="L16" s="449"/>
    </row>
    <row r="17" spans="1:12" ht="18" customHeight="1">
      <c r="A17" s="452" t="s">
        <v>49</v>
      </c>
      <c r="B17" s="451" t="s">
        <v>50</v>
      </c>
      <c r="C17" s="457" t="s">
        <v>357</v>
      </c>
      <c r="D17" s="461">
        <v>24000000</v>
      </c>
      <c r="E17" s="461">
        <v>19500000</v>
      </c>
      <c r="F17" s="487">
        <f>E17-D17</f>
        <v>-4500000</v>
      </c>
      <c r="G17" s="431"/>
      <c r="H17" s="451" t="s">
        <v>380</v>
      </c>
      <c r="I17" s="451" t="s">
        <v>378</v>
      </c>
      <c r="J17" s="446">
        <v>1800000</v>
      </c>
      <c r="K17" s="448">
        <v>1800000</v>
      </c>
      <c r="L17" s="449">
        <f t="shared" ref="L17" si="7">K17-J17</f>
        <v>0</v>
      </c>
    </row>
    <row r="18" spans="1:12" ht="18" customHeight="1">
      <c r="A18" s="453"/>
      <c r="B18" s="451"/>
      <c r="C18" s="458"/>
      <c r="D18" s="462"/>
      <c r="E18" s="462"/>
      <c r="F18" s="488"/>
      <c r="G18" s="431"/>
      <c r="H18" s="451"/>
      <c r="I18" s="451"/>
      <c r="J18" s="447"/>
      <c r="K18" s="448"/>
      <c r="L18" s="449"/>
    </row>
    <row r="19" spans="1:12" ht="18" customHeight="1">
      <c r="A19" s="453"/>
      <c r="B19" s="451"/>
      <c r="C19" s="457" t="s">
        <v>358</v>
      </c>
      <c r="D19" s="461">
        <v>21000000</v>
      </c>
      <c r="E19" s="461">
        <v>5000000</v>
      </c>
      <c r="F19" s="487">
        <f>E19-D19</f>
        <v>-16000000</v>
      </c>
      <c r="G19" s="431"/>
      <c r="H19" s="451"/>
      <c r="I19" s="451" t="s">
        <v>379</v>
      </c>
      <c r="J19" s="448">
        <v>12000000</v>
      </c>
      <c r="K19" s="448">
        <v>12000000</v>
      </c>
      <c r="L19" s="449">
        <f t="shared" ref="L19" si="8">K19-J19</f>
        <v>0</v>
      </c>
    </row>
    <row r="20" spans="1:12" ht="18" customHeight="1">
      <c r="A20" s="454"/>
      <c r="B20" s="451"/>
      <c r="C20" s="458"/>
      <c r="D20" s="494"/>
      <c r="E20" s="494"/>
      <c r="F20" s="488"/>
      <c r="G20" s="431"/>
      <c r="H20" s="451"/>
      <c r="I20" s="451"/>
      <c r="J20" s="448"/>
      <c r="K20" s="448"/>
      <c r="L20" s="449"/>
    </row>
    <row r="21" spans="1:12" ht="18" customHeight="1">
      <c r="A21" s="459"/>
      <c r="B21" s="460"/>
      <c r="C21" s="171"/>
      <c r="D21" s="173">
        <f>SUM(D17:D20)</f>
        <v>45000000</v>
      </c>
      <c r="E21" s="173">
        <f t="shared" ref="E21:F21" si="9">SUM(E17:E20)</f>
        <v>24500000</v>
      </c>
      <c r="F21" s="174">
        <f t="shared" si="9"/>
        <v>-20500000</v>
      </c>
      <c r="G21" s="431"/>
      <c r="H21" s="451"/>
      <c r="I21" s="451" t="s">
        <v>207</v>
      </c>
      <c r="J21" s="448">
        <v>1200000</v>
      </c>
      <c r="K21" s="448">
        <v>1200000</v>
      </c>
      <c r="L21" s="449">
        <f t="shared" ref="L21:L31" si="10">K21-J21</f>
        <v>0</v>
      </c>
    </row>
    <row r="22" spans="1:12" ht="18" customHeight="1">
      <c r="A22" s="452" t="s">
        <v>359</v>
      </c>
      <c r="B22" s="451" t="s">
        <v>360</v>
      </c>
      <c r="C22" s="457" t="s">
        <v>361</v>
      </c>
      <c r="D22" s="468">
        <v>1178924100</v>
      </c>
      <c r="E22" s="468">
        <v>1390396470</v>
      </c>
      <c r="F22" s="492">
        <f>E22-D22</f>
        <v>211472370</v>
      </c>
      <c r="G22" s="431"/>
      <c r="H22" s="451"/>
      <c r="I22" s="451"/>
      <c r="J22" s="448"/>
      <c r="K22" s="448"/>
      <c r="L22" s="449"/>
    </row>
    <row r="23" spans="1:12" ht="18" customHeight="1">
      <c r="A23" s="454"/>
      <c r="B23" s="451"/>
      <c r="C23" s="458"/>
      <c r="D23" s="425"/>
      <c r="E23" s="425"/>
      <c r="F23" s="493"/>
      <c r="G23" s="431"/>
      <c r="H23" s="408" t="s">
        <v>208</v>
      </c>
      <c r="I23" s="441" t="s">
        <v>209</v>
      </c>
      <c r="J23" s="429">
        <v>400000</v>
      </c>
      <c r="K23" s="429">
        <v>800000</v>
      </c>
      <c r="L23" s="420">
        <f t="shared" si="10"/>
        <v>400000</v>
      </c>
    </row>
    <row r="24" spans="1:12" ht="18" customHeight="1">
      <c r="A24" s="459"/>
      <c r="B24" s="460"/>
      <c r="C24" s="171"/>
      <c r="D24" s="173">
        <f>SUM(D22)</f>
        <v>1178924100</v>
      </c>
      <c r="E24" s="173">
        <f t="shared" ref="E24:F24" si="11">SUM(E22)</f>
        <v>1390396470</v>
      </c>
      <c r="F24" s="174">
        <f t="shared" si="11"/>
        <v>211472370</v>
      </c>
      <c r="G24" s="431"/>
      <c r="H24" s="408"/>
      <c r="I24" s="442"/>
      <c r="J24" s="430"/>
      <c r="K24" s="430"/>
      <c r="L24" s="428"/>
    </row>
    <row r="25" spans="1:12" ht="18" customHeight="1">
      <c r="A25" s="452" t="s">
        <v>62</v>
      </c>
      <c r="B25" s="451" t="s">
        <v>63</v>
      </c>
      <c r="C25" s="457" t="s">
        <v>364</v>
      </c>
      <c r="D25" s="461">
        <v>15000000</v>
      </c>
      <c r="E25" s="461">
        <v>5000000</v>
      </c>
      <c r="F25" s="487">
        <f>E25-D25</f>
        <v>-10000000</v>
      </c>
      <c r="G25" s="431"/>
      <c r="H25" s="408"/>
      <c r="I25" s="443" t="s">
        <v>381</v>
      </c>
      <c r="J25" s="429">
        <v>53200000</v>
      </c>
      <c r="K25" s="429">
        <v>56680000</v>
      </c>
      <c r="L25" s="420">
        <f t="shared" si="10"/>
        <v>3480000</v>
      </c>
    </row>
    <row r="26" spans="1:12" ht="18" customHeight="1">
      <c r="A26" s="454"/>
      <c r="B26" s="451"/>
      <c r="C26" s="458"/>
      <c r="D26" s="462"/>
      <c r="E26" s="462"/>
      <c r="F26" s="488"/>
      <c r="G26" s="431"/>
      <c r="H26" s="408"/>
      <c r="I26" s="444"/>
      <c r="J26" s="430"/>
      <c r="K26" s="430"/>
      <c r="L26" s="428"/>
    </row>
    <row r="27" spans="1:12" ht="18" customHeight="1">
      <c r="A27" s="459"/>
      <c r="B27" s="460"/>
      <c r="C27" s="171"/>
      <c r="D27" s="173">
        <f>SUM(D25)</f>
        <v>15000000</v>
      </c>
      <c r="E27" s="173">
        <f t="shared" ref="E27:F27" si="12">SUM(E25)</f>
        <v>5000000</v>
      </c>
      <c r="F27" s="174">
        <f t="shared" si="12"/>
        <v>-10000000</v>
      </c>
      <c r="G27" s="431"/>
      <c r="H27" s="408"/>
      <c r="I27" s="443" t="s">
        <v>382</v>
      </c>
      <c r="J27" s="429">
        <v>65500000</v>
      </c>
      <c r="K27" s="429">
        <v>60500000</v>
      </c>
      <c r="L27" s="420">
        <f t="shared" si="10"/>
        <v>-5000000</v>
      </c>
    </row>
    <row r="28" spans="1:12" ht="18" customHeight="1">
      <c r="A28" s="452" t="s">
        <v>67</v>
      </c>
      <c r="B28" s="451" t="s">
        <v>68</v>
      </c>
      <c r="C28" s="457" t="s">
        <v>365</v>
      </c>
      <c r="D28" s="461">
        <v>5000000</v>
      </c>
      <c r="E28" s="482">
        <v>5000000</v>
      </c>
      <c r="F28" s="487">
        <f>E28-D28</f>
        <v>0</v>
      </c>
      <c r="G28" s="431"/>
      <c r="H28" s="408"/>
      <c r="I28" s="444"/>
      <c r="J28" s="430"/>
      <c r="K28" s="430"/>
      <c r="L28" s="428"/>
    </row>
    <row r="29" spans="1:12" ht="18" customHeight="1">
      <c r="A29" s="453"/>
      <c r="B29" s="451"/>
      <c r="C29" s="458"/>
      <c r="D29" s="462"/>
      <c r="E29" s="486"/>
      <c r="F29" s="488"/>
      <c r="G29" s="431"/>
      <c r="H29" s="408"/>
      <c r="I29" s="441" t="s">
        <v>222</v>
      </c>
      <c r="J29" s="429">
        <v>8400000</v>
      </c>
      <c r="K29" s="429">
        <v>9600000</v>
      </c>
      <c r="L29" s="420">
        <f t="shared" si="10"/>
        <v>1200000</v>
      </c>
    </row>
    <row r="30" spans="1:12" ht="18" customHeight="1">
      <c r="A30" s="453"/>
      <c r="B30" s="451"/>
      <c r="C30" s="465" t="s">
        <v>366</v>
      </c>
      <c r="D30" s="482"/>
      <c r="E30" s="482">
        <v>5000000</v>
      </c>
      <c r="F30" s="484">
        <f>E30-D30</f>
        <v>5000000</v>
      </c>
      <c r="G30" s="431"/>
      <c r="H30" s="408"/>
      <c r="I30" s="442"/>
      <c r="J30" s="430"/>
      <c r="K30" s="430"/>
      <c r="L30" s="428"/>
    </row>
    <row r="31" spans="1:12" ht="18" customHeight="1">
      <c r="A31" s="454"/>
      <c r="B31" s="451"/>
      <c r="C31" s="466"/>
      <c r="D31" s="483"/>
      <c r="E31" s="483"/>
      <c r="F31" s="485"/>
      <c r="G31" s="431"/>
      <c r="H31" s="408"/>
      <c r="I31" s="441" t="s">
        <v>383</v>
      </c>
      <c r="J31" s="429">
        <v>21600000</v>
      </c>
      <c r="K31" s="429">
        <v>44680000</v>
      </c>
      <c r="L31" s="420">
        <f t="shared" si="10"/>
        <v>23080000</v>
      </c>
    </row>
    <row r="32" spans="1:12" ht="18" customHeight="1">
      <c r="A32" s="459"/>
      <c r="B32" s="460"/>
      <c r="C32" s="171"/>
      <c r="D32" s="173">
        <f>SUM(D28:D31)</f>
        <v>5000000</v>
      </c>
      <c r="E32" s="173">
        <f t="shared" ref="E32:F32" si="13">SUM(E28:E31)</f>
        <v>10000000</v>
      </c>
      <c r="F32" s="174">
        <f t="shared" si="13"/>
        <v>5000000</v>
      </c>
      <c r="G32" s="432"/>
      <c r="H32" s="400"/>
      <c r="I32" s="445"/>
      <c r="J32" s="433"/>
      <c r="K32" s="433"/>
      <c r="L32" s="421"/>
    </row>
    <row r="33" spans="1:12" ht="18" customHeight="1">
      <c r="A33" s="495" t="s">
        <v>77</v>
      </c>
      <c r="B33" s="498" t="s">
        <v>78</v>
      </c>
      <c r="C33" s="451" t="s">
        <v>367</v>
      </c>
      <c r="D33" s="489">
        <v>1000000</v>
      </c>
      <c r="E33" s="489">
        <v>1000000</v>
      </c>
      <c r="F33" s="470">
        <f>E33-D33</f>
        <v>0</v>
      </c>
      <c r="G33" s="203"/>
      <c r="H33" s="175"/>
      <c r="I33" s="175"/>
      <c r="J33" s="176">
        <f>SUM(J7:J32)</f>
        <v>1336098150</v>
      </c>
      <c r="K33" s="176">
        <f t="shared" ref="K33:L33" si="14">SUM(K7:K32)</f>
        <v>1624503149</v>
      </c>
      <c r="L33" s="190">
        <f t="shared" si="14"/>
        <v>288404999</v>
      </c>
    </row>
    <row r="34" spans="1:12" ht="18" customHeight="1">
      <c r="A34" s="496"/>
      <c r="B34" s="499"/>
      <c r="C34" s="451"/>
      <c r="D34" s="490"/>
      <c r="E34" s="490"/>
      <c r="F34" s="471"/>
      <c r="G34" s="450" t="s">
        <v>231</v>
      </c>
      <c r="H34" s="451" t="s">
        <v>232</v>
      </c>
      <c r="I34" s="408" t="s">
        <v>233</v>
      </c>
      <c r="J34" s="422">
        <v>21000000</v>
      </c>
      <c r="K34" s="424">
        <v>20000000</v>
      </c>
      <c r="L34" s="426">
        <f>K34-J34</f>
        <v>-1000000</v>
      </c>
    </row>
    <row r="35" spans="1:12" ht="18" customHeight="1">
      <c r="A35" s="496"/>
      <c r="B35" s="499"/>
      <c r="C35" s="451" t="s">
        <v>368</v>
      </c>
      <c r="D35" s="469">
        <v>3000000</v>
      </c>
      <c r="E35" s="469">
        <v>100000</v>
      </c>
      <c r="F35" s="470">
        <f t="shared" ref="F35" si="15">E35-D35</f>
        <v>-2900000</v>
      </c>
      <c r="G35" s="450"/>
      <c r="H35" s="451"/>
      <c r="I35" s="408"/>
      <c r="J35" s="423"/>
      <c r="K35" s="425"/>
      <c r="L35" s="427"/>
    </row>
    <row r="36" spans="1:12" ht="18" customHeight="1">
      <c r="A36" s="496"/>
      <c r="B36" s="499"/>
      <c r="C36" s="451"/>
      <c r="D36" s="469"/>
      <c r="E36" s="469"/>
      <c r="F36" s="471"/>
      <c r="G36" s="450"/>
      <c r="H36" s="451"/>
      <c r="I36" s="408" t="s">
        <v>385</v>
      </c>
      <c r="J36" s="435">
        <v>20000000</v>
      </c>
      <c r="K36" s="437">
        <v>10000000</v>
      </c>
      <c r="L36" s="426">
        <f t="shared" ref="L36" si="16">K36-J36</f>
        <v>-10000000</v>
      </c>
    </row>
    <row r="37" spans="1:12" ht="18" customHeight="1">
      <c r="A37" s="496"/>
      <c r="B37" s="499"/>
      <c r="C37" s="501" t="s">
        <v>369</v>
      </c>
      <c r="D37" s="491">
        <v>0</v>
      </c>
      <c r="E37" s="469">
        <v>26400000</v>
      </c>
      <c r="F37" s="470">
        <f t="shared" ref="F37" si="17">E37-D37</f>
        <v>26400000</v>
      </c>
      <c r="G37" s="450"/>
      <c r="H37" s="451"/>
      <c r="I37" s="408"/>
      <c r="J37" s="436"/>
      <c r="K37" s="438"/>
      <c r="L37" s="427"/>
    </row>
    <row r="38" spans="1:12" ht="18" customHeight="1">
      <c r="A38" s="496"/>
      <c r="B38" s="499"/>
      <c r="C38" s="501"/>
      <c r="D38" s="491"/>
      <c r="E38" s="469"/>
      <c r="F38" s="471"/>
      <c r="G38" s="450"/>
      <c r="H38" s="451"/>
      <c r="I38" s="434" t="s">
        <v>386</v>
      </c>
      <c r="J38" s="435">
        <v>1000000</v>
      </c>
      <c r="K38" s="437">
        <v>4000000</v>
      </c>
      <c r="L38" s="426">
        <f t="shared" ref="L38" si="18">K38-J38</f>
        <v>3000000</v>
      </c>
    </row>
    <row r="39" spans="1:12" ht="18" customHeight="1">
      <c r="A39" s="496"/>
      <c r="B39" s="499"/>
      <c r="C39" s="439" t="s">
        <v>370</v>
      </c>
      <c r="D39" s="480">
        <v>1650000</v>
      </c>
      <c r="E39" s="480">
        <v>13440000</v>
      </c>
      <c r="F39" s="470">
        <f t="shared" ref="F39" si="19">E39-D39</f>
        <v>11790000</v>
      </c>
      <c r="G39" s="450"/>
      <c r="H39" s="451"/>
      <c r="I39" s="434"/>
      <c r="J39" s="436"/>
      <c r="K39" s="438"/>
      <c r="L39" s="427"/>
    </row>
    <row r="40" spans="1:12" ht="18" customHeight="1">
      <c r="A40" s="497"/>
      <c r="B40" s="500"/>
      <c r="C40" s="440"/>
      <c r="D40" s="481"/>
      <c r="E40" s="481"/>
      <c r="F40" s="471"/>
      <c r="G40" s="203"/>
      <c r="H40" s="177"/>
      <c r="I40" s="175"/>
      <c r="J40" s="178">
        <f>SUM(J34:J39)</f>
        <v>42000000</v>
      </c>
      <c r="K40" s="179">
        <f t="shared" ref="K40:L40" si="20">SUM(K34:K39)</f>
        <v>34000000</v>
      </c>
      <c r="L40" s="191">
        <f t="shared" si="20"/>
        <v>-8000000</v>
      </c>
    </row>
    <row r="41" spans="1:12" ht="18" customHeight="1" thickBot="1">
      <c r="A41" s="478"/>
      <c r="B41" s="479"/>
      <c r="C41" s="198"/>
      <c r="D41" s="199">
        <f>SUM(D33:D40)</f>
        <v>5650000</v>
      </c>
      <c r="E41" s="199">
        <f t="shared" ref="E41:F41" si="21">SUM(E33:E40)</f>
        <v>40940000</v>
      </c>
      <c r="F41" s="202">
        <f t="shared" si="21"/>
        <v>35290000</v>
      </c>
      <c r="G41" s="417" t="s">
        <v>236</v>
      </c>
      <c r="H41" s="411" t="s">
        <v>237</v>
      </c>
      <c r="I41" s="408" t="s">
        <v>238</v>
      </c>
      <c r="J41" s="414">
        <v>157661750</v>
      </c>
      <c r="K41" s="414">
        <v>212225000</v>
      </c>
      <c r="L41" s="415">
        <f>K41-J41</f>
        <v>54563250</v>
      </c>
    </row>
    <row r="42" spans="1:12" ht="18" customHeight="1">
      <c r="A42" s="474"/>
      <c r="B42" s="475"/>
      <c r="C42" s="475"/>
      <c r="D42" s="475"/>
      <c r="E42" s="475"/>
      <c r="F42" s="475"/>
      <c r="G42" s="418"/>
      <c r="H42" s="412"/>
      <c r="I42" s="408"/>
      <c r="J42" s="414"/>
      <c r="K42" s="414"/>
      <c r="L42" s="415"/>
    </row>
    <row r="43" spans="1:12" ht="18" customHeight="1">
      <c r="A43" s="474"/>
      <c r="B43" s="475"/>
      <c r="C43" s="475"/>
      <c r="D43" s="475"/>
      <c r="E43" s="475"/>
      <c r="F43" s="475"/>
      <c r="G43" s="418"/>
      <c r="H43" s="412"/>
      <c r="I43" s="409" t="s">
        <v>387</v>
      </c>
      <c r="J43" s="416">
        <v>28000000</v>
      </c>
      <c r="K43" s="416">
        <v>39000000</v>
      </c>
      <c r="L43" s="415">
        <f t="shared" ref="L43" si="22">K43-J43</f>
        <v>11000000</v>
      </c>
    </row>
    <row r="44" spans="1:12" ht="18" customHeight="1">
      <c r="A44" s="474"/>
      <c r="B44" s="475"/>
      <c r="C44" s="475"/>
      <c r="D44" s="475"/>
      <c r="E44" s="475"/>
      <c r="F44" s="475"/>
      <c r="G44" s="418"/>
      <c r="H44" s="412"/>
      <c r="I44" s="410"/>
      <c r="J44" s="416"/>
      <c r="K44" s="416"/>
      <c r="L44" s="415"/>
    </row>
    <row r="45" spans="1:12" ht="18" customHeight="1">
      <c r="A45" s="474"/>
      <c r="B45" s="475"/>
      <c r="C45" s="475"/>
      <c r="D45" s="475"/>
      <c r="E45" s="475"/>
      <c r="F45" s="475"/>
      <c r="G45" s="418"/>
      <c r="H45" s="412"/>
      <c r="I45" s="400" t="s">
        <v>388</v>
      </c>
      <c r="J45" s="473">
        <v>2000000</v>
      </c>
      <c r="K45" s="472">
        <v>4000000</v>
      </c>
      <c r="L45" s="415">
        <f t="shared" ref="L45" si="23">K45-J45</f>
        <v>2000000</v>
      </c>
    </row>
    <row r="46" spans="1:12" ht="18" customHeight="1">
      <c r="A46" s="474"/>
      <c r="B46" s="475"/>
      <c r="C46" s="475"/>
      <c r="D46" s="475"/>
      <c r="E46" s="475"/>
      <c r="F46" s="475"/>
      <c r="G46" s="418"/>
      <c r="H46" s="412"/>
      <c r="I46" s="401"/>
      <c r="J46" s="473"/>
      <c r="K46" s="472"/>
      <c r="L46" s="415"/>
    </row>
    <row r="47" spans="1:12" ht="18" customHeight="1">
      <c r="A47" s="474"/>
      <c r="B47" s="475"/>
      <c r="C47" s="475"/>
      <c r="D47" s="475"/>
      <c r="E47" s="475"/>
      <c r="F47" s="475"/>
      <c r="G47" s="418"/>
      <c r="H47" s="412"/>
      <c r="I47" s="408" t="s">
        <v>247</v>
      </c>
      <c r="J47" s="416">
        <v>8400000</v>
      </c>
      <c r="K47" s="416">
        <v>8000000</v>
      </c>
      <c r="L47" s="415">
        <f t="shared" ref="L47" si="24">K47-J47</f>
        <v>-400000</v>
      </c>
    </row>
    <row r="48" spans="1:12" ht="18" customHeight="1">
      <c r="A48" s="474"/>
      <c r="B48" s="475"/>
      <c r="C48" s="475"/>
      <c r="D48" s="475"/>
      <c r="E48" s="475"/>
      <c r="F48" s="475"/>
      <c r="G48" s="418"/>
      <c r="H48" s="412"/>
      <c r="I48" s="408"/>
      <c r="J48" s="416"/>
      <c r="K48" s="416"/>
      <c r="L48" s="415"/>
    </row>
    <row r="49" spans="1:12" ht="18" customHeight="1">
      <c r="A49" s="474"/>
      <c r="B49" s="475"/>
      <c r="C49" s="475"/>
      <c r="D49" s="475"/>
      <c r="E49" s="475"/>
      <c r="F49" s="475"/>
      <c r="G49" s="418"/>
      <c r="H49" s="412"/>
      <c r="I49" s="400" t="s">
        <v>248</v>
      </c>
      <c r="J49" s="402">
        <v>18000000</v>
      </c>
      <c r="K49" s="402">
        <v>18000000</v>
      </c>
      <c r="L49" s="415">
        <f t="shared" ref="L49" si="25">K49-J49</f>
        <v>0</v>
      </c>
    </row>
    <row r="50" spans="1:12" ht="18" customHeight="1">
      <c r="A50" s="474"/>
      <c r="B50" s="475"/>
      <c r="C50" s="475"/>
      <c r="D50" s="475"/>
      <c r="E50" s="475"/>
      <c r="F50" s="475"/>
      <c r="G50" s="418"/>
      <c r="H50" s="412"/>
      <c r="I50" s="401"/>
      <c r="J50" s="403"/>
      <c r="K50" s="403"/>
      <c r="L50" s="415"/>
    </row>
    <row r="51" spans="1:12" ht="18" customHeight="1">
      <c r="A51" s="474"/>
      <c r="B51" s="475"/>
      <c r="C51" s="475"/>
      <c r="D51" s="475"/>
      <c r="E51" s="475"/>
      <c r="F51" s="475"/>
      <c r="G51" s="418"/>
      <c r="H51" s="412"/>
      <c r="I51" s="400" t="s">
        <v>250</v>
      </c>
      <c r="J51" s="416">
        <v>12000000</v>
      </c>
      <c r="K51" s="416">
        <v>12000000</v>
      </c>
      <c r="L51" s="415">
        <f t="shared" ref="L51" si="26">K51-J51</f>
        <v>0</v>
      </c>
    </row>
    <row r="52" spans="1:12" ht="18" customHeight="1">
      <c r="A52" s="474"/>
      <c r="B52" s="475"/>
      <c r="C52" s="475"/>
      <c r="D52" s="475"/>
      <c r="E52" s="475"/>
      <c r="F52" s="475"/>
      <c r="G52" s="418"/>
      <c r="H52" s="413"/>
      <c r="I52" s="401"/>
      <c r="J52" s="416"/>
      <c r="K52" s="416"/>
      <c r="L52" s="415"/>
    </row>
    <row r="53" spans="1:12" ht="18" customHeight="1">
      <c r="A53" s="474"/>
      <c r="B53" s="475"/>
      <c r="C53" s="475"/>
      <c r="D53" s="475"/>
      <c r="E53" s="475"/>
      <c r="F53" s="475"/>
      <c r="G53" s="418"/>
      <c r="H53" s="409" t="s">
        <v>389</v>
      </c>
      <c r="I53" s="409" t="s">
        <v>390</v>
      </c>
      <c r="J53" s="416">
        <v>12400000</v>
      </c>
      <c r="K53" s="416">
        <v>21100000</v>
      </c>
      <c r="L53" s="415">
        <f t="shared" ref="L53" si="27">K53-J53</f>
        <v>8700000</v>
      </c>
    </row>
    <row r="54" spans="1:12" ht="18" customHeight="1">
      <c r="A54" s="474"/>
      <c r="B54" s="475"/>
      <c r="C54" s="475"/>
      <c r="D54" s="475"/>
      <c r="E54" s="475"/>
      <c r="F54" s="475"/>
      <c r="G54" s="419"/>
      <c r="H54" s="410"/>
      <c r="I54" s="410"/>
      <c r="J54" s="416"/>
      <c r="K54" s="416"/>
      <c r="L54" s="415"/>
    </row>
    <row r="55" spans="1:12" ht="18" customHeight="1">
      <c r="A55" s="474"/>
      <c r="B55" s="475"/>
      <c r="C55" s="475"/>
      <c r="D55" s="475"/>
      <c r="E55" s="475"/>
      <c r="F55" s="475"/>
      <c r="G55" s="204"/>
      <c r="H55" s="182"/>
      <c r="I55" s="183"/>
      <c r="J55" s="184">
        <f>SUM(J41:J54)</f>
        <v>238461750</v>
      </c>
      <c r="K55" s="184">
        <f t="shared" ref="K55:L55" si="28">SUM(K41:K54)</f>
        <v>314325000</v>
      </c>
      <c r="L55" s="192">
        <f t="shared" si="28"/>
        <v>75863250</v>
      </c>
    </row>
    <row r="56" spans="1:12" ht="18" customHeight="1">
      <c r="A56" s="474"/>
      <c r="B56" s="475"/>
      <c r="C56" s="475"/>
      <c r="D56" s="475"/>
      <c r="E56" s="475"/>
      <c r="F56" s="475"/>
      <c r="G56" s="398" t="s">
        <v>393</v>
      </c>
      <c r="H56" s="400" t="s">
        <v>394</v>
      </c>
      <c r="I56" s="408" t="s">
        <v>391</v>
      </c>
      <c r="J56" s="402">
        <v>40000000</v>
      </c>
      <c r="K56" s="402">
        <v>0</v>
      </c>
      <c r="L56" s="404">
        <f>K56-J56</f>
        <v>-40000000</v>
      </c>
    </row>
    <row r="57" spans="1:12" ht="18" customHeight="1">
      <c r="A57" s="474"/>
      <c r="B57" s="475"/>
      <c r="C57" s="475"/>
      <c r="D57" s="475"/>
      <c r="E57" s="475"/>
      <c r="F57" s="475"/>
      <c r="G57" s="406"/>
      <c r="H57" s="407"/>
      <c r="I57" s="408"/>
      <c r="J57" s="403"/>
      <c r="K57" s="403"/>
      <c r="L57" s="405"/>
    </row>
    <row r="58" spans="1:12" ht="18" customHeight="1">
      <c r="A58" s="474"/>
      <c r="B58" s="475"/>
      <c r="C58" s="475"/>
      <c r="D58" s="475"/>
      <c r="E58" s="475"/>
      <c r="F58" s="475"/>
      <c r="G58" s="406"/>
      <c r="H58" s="407"/>
      <c r="I58" s="408" t="s">
        <v>392</v>
      </c>
      <c r="J58" s="402">
        <v>2400000</v>
      </c>
      <c r="K58" s="402">
        <v>0</v>
      </c>
      <c r="L58" s="404">
        <f>K58-J58</f>
        <v>-2400000</v>
      </c>
    </row>
    <row r="59" spans="1:12" ht="18" customHeight="1">
      <c r="A59" s="474"/>
      <c r="B59" s="475"/>
      <c r="C59" s="475"/>
      <c r="D59" s="475"/>
      <c r="E59" s="475"/>
      <c r="F59" s="475"/>
      <c r="G59" s="399"/>
      <c r="H59" s="401"/>
      <c r="I59" s="408"/>
      <c r="J59" s="403"/>
      <c r="K59" s="403"/>
      <c r="L59" s="405"/>
    </row>
    <row r="60" spans="1:12" ht="18" customHeight="1">
      <c r="A60" s="474"/>
      <c r="B60" s="475"/>
      <c r="C60" s="475"/>
      <c r="D60" s="475"/>
      <c r="E60" s="475"/>
      <c r="F60" s="475"/>
      <c r="G60" s="205"/>
      <c r="H60" s="185"/>
      <c r="I60" s="186"/>
      <c r="J60" s="187">
        <f>SUM(J56:J59)</f>
        <v>42400000</v>
      </c>
      <c r="K60" s="187">
        <f t="shared" ref="K60:L60" si="29">SUM(K56:K59)</f>
        <v>0</v>
      </c>
      <c r="L60" s="193">
        <f t="shared" si="29"/>
        <v>-42400000</v>
      </c>
    </row>
    <row r="61" spans="1:12" ht="18" customHeight="1">
      <c r="A61" s="474"/>
      <c r="B61" s="475"/>
      <c r="C61" s="475"/>
      <c r="D61" s="475"/>
      <c r="E61" s="475"/>
      <c r="F61" s="475"/>
      <c r="G61" s="398" t="s">
        <v>395</v>
      </c>
      <c r="H61" s="400" t="s">
        <v>396</v>
      </c>
      <c r="I61" s="400" t="s">
        <v>397</v>
      </c>
      <c r="J61" s="402">
        <v>12051230</v>
      </c>
      <c r="K61" s="402">
        <v>16043851</v>
      </c>
      <c r="L61" s="404">
        <f>K61-J61</f>
        <v>3992621</v>
      </c>
    </row>
    <row r="62" spans="1:12" ht="18" customHeight="1">
      <c r="A62" s="474"/>
      <c r="B62" s="475"/>
      <c r="C62" s="475"/>
      <c r="D62" s="475"/>
      <c r="E62" s="475"/>
      <c r="F62" s="475"/>
      <c r="G62" s="399"/>
      <c r="H62" s="401"/>
      <c r="I62" s="401"/>
      <c r="J62" s="403"/>
      <c r="K62" s="403"/>
      <c r="L62" s="405"/>
    </row>
    <row r="63" spans="1:12" ht="18" customHeight="1" thickBot="1">
      <c r="A63" s="476"/>
      <c r="B63" s="477"/>
      <c r="C63" s="477"/>
      <c r="D63" s="477"/>
      <c r="E63" s="477"/>
      <c r="F63" s="477"/>
      <c r="G63" s="206"/>
      <c r="H63" s="194"/>
      <c r="I63" s="195"/>
      <c r="J63" s="196">
        <f>SUM(J61)</f>
        <v>12051230</v>
      </c>
      <c r="K63" s="196">
        <f t="shared" ref="K63:L63" si="30">SUM(K61)</f>
        <v>16043851</v>
      </c>
      <c r="L63" s="197">
        <f t="shared" si="30"/>
        <v>3992621</v>
      </c>
    </row>
  </sheetData>
  <mergeCells count="210">
    <mergeCell ref="G6:I6"/>
    <mergeCell ref="E7:E8"/>
    <mergeCell ref="F7:F8"/>
    <mergeCell ref="C4:C5"/>
    <mergeCell ref="H4:H5"/>
    <mergeCell ref="I4:I5"/>
    <mergeCell ref="G4:G5"/>
    <mergeCell ref="A2:F2"/>
    <mergeCell ref="G2:L2"/>
    <mergeCell ref="A3:C3"/>
    <mergeCell ref="D3:E3"/>
    <mergeCell ref="G3:I3"/>
    <mergeCell ref="J3:K3"/>
    <mergeCell ref="A4:A5"/>
    <mergeCell ref="B4:B5"/>
    <mergeCell ref="A7:A10"/>
    <mergeCell ref="B7:B10"/>
    <mergeCell ref="J9:J10"/>
    <mergeCell ref="K9:K10"/>
    <mergeCell ref="L9:L10"/>
    <mergeCell ref="J7:J8"/>
    <mergeCell ref="K7:K8"/>
    <mergeCell ref="L7:L8"/>
    <mergeCell ref="D9:D10"/>
    <mergeCell ref="E9:E10"/>
    <mergeCell ref="F9:F10"/>
    <mergeCell ref="I7:I8"/>
    <mergeCell ref="I9:I10"/>
    <mergeCell ref="D7:D8"/>
    <mergeCell ref="J11:J12"/>
    <mergeCell ref="I19:I20"/>
    <mergeCell ref="I13:I14"/>
    <mergeCell ref="I11:I12"/>
    <mergeCell ref="K11:K12"/>
    <mergeCell ref="J13:J14"/>
    <mergeCell ref="K13:K14"/>
    <mergeCell ref="L13:L14"/>
    <mergeCell ref="L11:L12"/>
    <mergeCell ref="E14:E15"/>
    <mergeCell ref="F14:F15"/>
    <mergeCell ref="D12:D13"/>
    <mergeCell ref="E12:E13"/>
    <mergeCell ref="F12:F13"/>
    <mergeCell ref="C19:C20"/>
    <mergeCell ref="I15:I16"/>
    <mergeCell ref="H7:H16"/>
    <mergeCell ref="I17:I18"/>
    <mergeCell ref="C7:C8"/>
    <mergeCell ref="C9:C10"/>
    <mergeCell ref="C12:C13"/>
    <mergeCell ref="E22:E23"/>
    <mergeCell ref="F22:F23"/>
    <mergeCell ref="F33:F34"/>
    <mergeCell ref="I21:I22"/>
    <mergeCell ref="H17:H22"/>
    <mergeCell ref="J19:J20"/>
    <mergeCell ref="K19:K20"/>
    <mergeCell ref="L19:L20"/>
    <mergeCell ref="A21:B21"/>
    <mergeCell ref="J17:J18"/>
    <mergeCell ref="K17:K18"/>
    <mergeCell ref="L17:L18"/>
    <mergeCell ref="D19:D20"/>
    <mergeCell ref="E19:E20"/>
    <mergeCell ref="F19:F20"/>
    <mergeCell ref="D17:D18"/>
    <mergeCell ref="E17:E18"/>
    <mergeCell ref="F17:F18"/>
    <mergeCell ref="A33:A40"/>
    <mergeCell ref="B33:B40"/>
    <mergeCell ref="C33:C34"/>
    <mergeCell ref="C35:C36"/>
    <mergeCell ref="C37:C38"/>
    <mergeCell ref="A32:B32"/>
    <mergeCell ref="D30:D31"/>
    <mergeCell ref="E30:E31"/>
    <mergeCell ref="F30:F31"/>
    <mergeCell ref="E28:E29"/>
    <mergeCell ref="F28:F29"/>
    <mergeCell ref="D28:D29"/>
    <mergeCell ref="K25:K26"/>
    <mergeCell ref="A27:B27"/>
    <mergeCell ref="D25:D26"/>
    <mergeCell ref="E25:E26"/>
    <mergeCell ref="F25:F26"/>
    <mergeCell ref="A25:A26"/>
    <mergeCell ref="B25:B26"/>
    <mergeCell ref="C25:C26"/>
    <mergeCell ref="A1:L1"/>
    <mergeCell ref="A17:A20"/>
    <mergeCell ref="B17:B20"/>
    <mergeCell ref="A22:A23"/>
    <mergeCell ref="B22:B23"/>
    <mergeCell ref="C22:C23"/>
    <mergeCell ref="D22:D23"/>
    <mergeCell ref="I53:I54"/>
    <mergeCell ref="J53:J54"/>
    <mergeCell ref="K36:K37"/>
    <mergeCell ref="L36:L37"/>
    <mergeCell ref="D35:D36"/>
    <mergeCell ref="E35:E36"/>
    <mergeCell ref="F35:F36"/>
    <mergeCell ref="H53:H54"/>
    <mergeCell ref="I47:I48"/>
    <mergeCell ref="I49:I50"/>
    <mergeCell ref="K45:K46"/>
    <mergeCell ref="L45:L46"/>
    <mergeCell ref="J45:J46"/>
    <mergeCell ref="J43:J44"/>
    <mergeCell ref="A42:F63"/>
    <mergeCell ref="A41:B41"/>
    <mergeCell ref="D39:D40"/>
    <mergeCell ref="A12:A15"/>
    <mergeCell ref="C14:C15"/>
    <mergeCell ref="B12:B15"/>
    <mergeCell ref="C17:C18"/>
    <mergeCell ref="A16:B16"/>
    <mergeCell ref="D14:D15"/>
    <mergeCell ref="A11:B11"/>
    <mergeCell ref="A6:C6"/>
    <mergeCell ref="A28:A31"/>
    <mergeCell ref="B28:B31"/>
    <mergeCell ref="C28:C29"/>
    <mergeCell ref="C30:C31"/>
    <mergeCell ref="A24:B24"/>
    <mergeCell ref="C39:C40"/>
    <mergeCell ref="I23:I24"/>
    <mergeCell ref="I25:I26"/>
    <mergeCell ref="I27:I28"/>
    <mergeCell ref="I29:I30"/>
    <mergeCell ref="I31:I32"/>
    <mergeCell ref="J15:J16"/>
    <mergeCell ref="K15:K16"/>
    <mergeCell ref="L15:L16"/>
    <mergeCell ref="J21:J22"/>
    <mergeCell ref="K21:K22"/>
    <mergeCell ref="L21:L22"/>
    <mergeCell ref="L25:L26"/>
    <mergeCell ref="G34:G39"/>
    <mergeCell ref="L38:L39"/>
    <mergeCell ref="H34:H39"/>
    <mergeCell ref="E39:E40"/>
    <mergeCell ref="F39:F40"/>
    <mergeCell ref="D33:D34"/>
    <mergeCell ref="E33:E34"/>
    <mergeCell ref="D37:D38"/>
    <mergeCell ref="E37:E38"/>
    <mergeCell ref="F37:F38"/>
    <mergeCell ref="J36:J37"/>
    <mergeCell ref="G41:G54"/>
    <mergeCell ref="L31:L32"/>
    <mergeCell ref="J34:J35"/>
    <mergeCell ref="K34:K35"/>
    <mergeCell ref="L34:L35"/>
    <mergeCell ref="I34:I35"/>
    <mergeCell ref="I36:I37"/>
    <mergeCell ref="L23:L24"/>
    <mergeCell ref="J25:J26"/>
    <mergeCell ref="J27:J28"/>
    <mergeCell ref="K27:K28"/>
    <mergeCell ref="L27:L28"/>
    <mergeCell ref="J29:J30"/>
    <mergeCell ref="K29:K30"/>
    <mergeCell ref="L29:L30"/>
    <mergeCell ref="H23:H32"/>
    <mergeCell ref="G7:G32"/>
    <mergeCell ref="J23:J24"/>
    <mergeCell ref="K23:K24"/>
    <mergeCell ref="J31:J32"/>
    <mergeCell ref="K31:K32"/>
    <mergeCell ref="I38:I39"/>
    <mergeCell ref="J38:J39"/>
    <mergeCell ref="K38:K39"/>
    <mergeCell ref="I41:I42"/>
    <mergeCell ref="I43:I44"/>
    <mergeCell ref="I45:I46"/>
    <mergeCell ref="H41:H52"/>
    <mergeCell ref="J41:J42"/>
    <mergeCell ref="K41:K42"/>
    <mergeCell ref="L41:L42"/>
    <mergeCell ref="I51:I52"/>
    <mergeCell ref="K53:K54"/>
    <mergeCell ref="L53:L54"/>
    <mergeCell ref="K43:K44"/>
    <mergeCell ref="L43:L44"/>
    <mergeCell ref="J47:J48"/>
    <mergeCell ref="K47:K48"/>
    <mergeCell ref="L47:L48"/>
    <mergeCell ref="J51:J52"/>
    <mergeCell ref="K51:K52"/>
    <mergeCell ref="L51:L52"/>
    <mergeCell ref="J49:J50"/>
    <mergeCell ref="K49:K50"/>
    <mergeCell ref="L49:L50"/>
    <mergeCell ref="G61:G62"/>
    <mergeCell ref="H61:H62"/>
    <mergeCell ref="I61:I62"/>
    <mergeCell ref="J61:J62"/>
    <mergeCell ref="K61:K62"/>
    <mergeCell ref="L61:L62"/>
    <mergeCell ref="G56:G59"/>
    <mergeCell ref="H56:H59"/>
    <mergeCell ref="J56:J57"/>
    <mergeCell ref="K56:K57"/>
    <mergeCell ref="L56:L57"/>
    <mergeCell ref="J58:J59"/>
    <mergeCell ref="K58:K59"/>
    <mergeCell ref="L58:L59"/>
    <mergeCell ref="I56:I57"/>
    <mergeCell ref="I58:I59"/>
  </mergeCells>
  <phoneticPr fontId="2" type="noConversion"/>
  <pageMargins left="0.15748031496062992" right="0.15748031496062992" top="0.39370078740157483" bottom="0.35433070866141736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수입</vt:lpstr>
      <vt:lpstr>지출</vt:lpstr>
      <vt:lpstr>임직원보수일람표</vt:lpstr>
      <vt:lpstr>총괄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사용자</dc:creator>
  <cp:lastModifiedBy>사용자</cp:lastModifiedBy>
  <cp:lastPrinted>2018-12-21T07:11:56Z</cp:lastPrinted>
  <dcterms:created xsi:type="dcterms:W3CDTF">2018-12-14T01:31:28Z</dcterms:created>
  <dcterms:modified xsi:type="dcterms:W3CDTF">2018-12-21T07:12:40Z</dcterms:modified>
</cp:coreProperties>
</file>